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3035" activeTab="3"/>
  </bookViews>
  <sheets>
    <sheet name="МГА" sheetId="4" r:id="rId1"/>
    <sheet name="БАК" sheetId="1" r:id="rId2"/>
    <sheet name="питьевая вода" sheetId="2" r:id="rId3"/>
    <sheet name="стоки" sheetId="3" r:id="rId4"/>
  </sheets>
  <calcPr calcId="145621"/>
</workbook>
</file>

<file path=xl/calcChain.xml><?xml version="1.0" encoding="utf-8"?>
<calcChain xmlns="http://schemas.openxmlformats.org/spreadsheetml/2006/main">
  <c r="K39" i="3" l="1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G39" i="3"/>
  <c r="G38" i="3"/>
  <c r="G37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G40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E42" i="2"/>
  <c r="K21" i="1"/>
  <c r="K20" i="1"/>
  <c r="K19" i="1"/>
  <c r="K18" i="1"/>
  <c r="K17" i="1"/>
  <c r="J21" i="1"/>
  <c r="J20" i="1"/>
  <c r="J19" i="1"/>
  <c r="J18" i="1"/>
  <c r="J17" i="1"/>
  <c r="G21" i="1"/>
  <c r="G20" i="1"/>
  <c r="G19" i="1"/>
  <c r="G18" i="1"/>
  <c r="G17" i="1"/>
  <c r="I23" i="4"/>
  <c r="I22" i="4"/>
  <c r="I21" i="4"/>
  <c r="I20" i="4"/>
  <c r="I19" i="4"/>
  <c r="I18" i="4"/>
  <c r="I17" i="4"/>
  <c r="E24" i="1"/>
  <c r="E23" i="1"/>
  <c r="E43" i="2" l="1"/>
  <c r="E46" i="2" s="1"/>
  <c r="H46" i="2" s="1"/>
  <c r="E41" i="3" l="1"/>
  <c r="E27" i="1"/>
  <c r="G27" i="1" s="1"/>
  <c r="E42" i="3"/>
  <c r="E45" i="3" s="1"/>
  <c r="E44" i="2" l="1"/>
  <c r="H45" i="3" l="1"/>
  <c r="E43" i="3"/>
  <c r="C18" i="4"/>
  <c r="E18" i="4" s="1"/>
  <c r="F18" i="4" s="1"/>
  <c r="J18" i="4" s="1"/>
  <c r="C19" i="4"/>
  <c r="H19" i="4" s="1"/>
  <c r="C20" i="4"/>
  <c r="H20" i="4" s="1"/>
  <c r="C21" i="4"/>
  <c r="H21" i="4" s="1"/>
  <c r="C22" i="4"/>
  <c r="E22" i="4" s="1"/>
  <c r="F22" i="4" s="1"/>
  <c r="J22" i="4" s="1"/>
  <c r="C23" i="4"/>
  <c r="H23" i="4" s="1"/>
  <c r="C17" i="4"/>
  <c r="H17" i="4" s="1"/>
  <c r="A18" i="4"/>
  <c r="A19" i="4" s="1"/>
  <c r="A20" i="4" s="1"/>
  <c r="A21" i="4" s="1"/>
  <c r="A22" i="4" s="1"/>
  <c r="A23" i="4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C19" i="3"/>
  <c r="E19" i="3" s="1"/>
  <c r="F19" i="3" s="1"/>
  <c r="C20" i="3"/>
  <c r="E20" i="3" s="1"/>
  <c r="F20" i="3" s="1"/>
  <c r="C21" i="3"/>
  <c r="E21" i="3" s="1"/>
  <c r="F21" i="3" s="1"/>
  <c r="C22" i="3"/>
  <c r="E22" i="3" s="1"/>
  <c r="F22" i="3" s="1"/>
  <c r="C23" i="3"/>
  <c r="E23" i="3" s="1"/>
  <c r="F23" i="3" s="1"/>
  <c r="C24" i="3"/>
  <c r="E24" i="3" s="1"/>
  <c r="F24" i="3" s="1"/>
  <c r="C25" i="3"/>
  <c r="E25" i="3" s="1"/>
  <c r="F25" i="3" s="1"/>
  <c r="C26" i="3"/>
  <c r="E26" i="3" s="1"/>
  <c r="F26" i="3" s="1"/>
  <c r="C27" i="3"/>
  <c r="E27" i="3" s="1"/>
  <c r="F27" i="3" s="1"/>
  <c r="C28" i="3"/>
  <c r="E28" i="3" s="1"/>
  <c r="F28" i="3" s="1"/>
  <c r="C29" i="3"/>
  <c r="E29" i="3" s="1"/>
  <c r="F29" i="3" s="1"/>
  <c r="C30" i="3"/>
  <c r="E30" i="3" s="1"/>
  <c r="F30" i="3" s="1"/>
  <c r="C31" i="3"/>
  <c r="E31" i="3" s="1"/>
  <c r="F31" i="3" s="1"/>
  <c r="C32" i="3"/>
  <c r="E32" i="3" s="1"/>
  <c r="F32" i="3" s="1"/>
  <c r="C33" i="3"/>
  <c r="E33" i="3" s="1"/>
  <c r="F33" i="3" s="1"/>
  <c r="C34" i="3"/>
  <c r="E34" i="3" s="1"/>
  <c r="F34" i="3" s="1"/>
  <c r="C35" i="3"/>
  <c r="E35" i="3" s="1"/>
  <c r="F35" i="3" s="1"/>
  <c r="C36" i="3"/>
  <c r="E36" i="3" s="1"/>
  <c r="F36" i="3" s="1"/>
  <c r="C37" i="3"/>
  <c r="E37" i="3" s="1"/>
  <c r="F37" i="3" s="1"/>
  <c r="C38" i="3"/>
  <c r="E38" i="3" s="1"/>
  <c r="F38" i="3" s="1"/>
  <c r="C39" i="3"/>
  <c r="E39" i="3" s="1"/>
  <c r="F39" i="3" s="1"/>
  <c r="C18" i="3"/>
  <c r="E18" i="3" s="1"/>
  <c r="F18" i="3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C18" i="2"/>
  <c r="E18" i="2" s="1"/>
  <c r="F18" i="2" s="1"/>
  <c r="C19" i="2"/>
  <c r="E19" i="2" s="1"/>
  <c r="F19" i="2" s="1"/>
  <c r="C20" i="2"/>
  <c r="E20" i="2" s="1"/>
  <c r="F20" i="2" s="1"/>
  <c r="C21" i="2"/>
  <c r="E21" i="2" s="1"/>
  <c r="F21" i="2" s="1"/>
  <c r="C22" i="2"/>
  <c r="E22" i="2" s="1"/>
  <c r="F22" i="2" s="1"/>
  <c r="C23" i="2"/>
  <c r="E23" i="2" s="1"/>
  <c r="F23" i="2" s="1"/>
  <c r="C24" i="2"/>
  <c r="E24" i="2" s="1"/>
  <c r="F24" i="2" s="1"/>
  <c r="C25" i="2"/>
  <c r="E25" i="2" s="1"/>
  <c r="F25" i="2" s="1"/>
  <c r="C26" i="2"/>
  <c r="E26" i="2" s="1"/>
  <c r="F26" i="2" s="1"/>
  <c r="C27" i="2"/>
  <c r="E27" i="2" s="1"/>
  <c r="F27" i="2" s="1"/>
  <c r="C28" i="2"/>
  <c r="E28" i="2" s="1"/>
  <c r="F28" i="2" s="1"/>
  <c r="C29" i="2"/>
  <c r="E29" i="2" s="1"/>
  <c r="F29" i="2" s="1"/>
  <c r="C30" i="2"/>
  <c r="E30" i="2" s="1"/>
  <c r="F30" i="2" s="1"/>
  <c r="C31" i="2"/>
  <c r="E31" i="2" s="1"/>
  <c r="F31" i="2" s="1"/>
  <c r="C32" i="2"/>
  <c r="E32" i="2" s="1"/>
  <c r="F32" i="2" s="1"/>
  <c r="C33" i="2"/>
  <c r="E33" i="2" s="1"/>
  <c r="F33" i="2" s="1"/>
  <c r="C34" i="2"/>
  <c r="E34" i="2" s="1"/>
  <c r="F34" i="2" s="1"/>
  <c r="C35" i="2"/>
  <c r="E35" i="2" s="1"/>
  <c r="F35" i="2" s="1"/>
  <c r="C36" i="2"/>
  <c r="E36" i="2" s="1"/>
  <c r="F36" i="2" s="1"/>
  <c r="C37" i="2"/>
  <c r="E37" i="2" s="1"/>
  <c r="F37" i="2" s="1"/>
  <c r="C38" i="2"/>
  <c r="E38" i="2" s="1"/>
  <c r="F38" i="2" s="1"/>
  <c r="C39" i="2"/>
  <c r="E39" i="2" s="1"/>
  <c r="F39" i="2" s="1"/>
  <c r="C40" i="2"/>
  <c r="E40" i="2" s="1"/>
  <c r="F40" i="2" s="1"/>
  <c r="C17" i="2"/>
  <c r="E17" i="2" s="1"/>
  <c r="F17" i="2" s="1"/>
  <c r="C17" i="1"/>
  <c r="E17" i="1" s="1"/>
  <c r="F17" i="1" s="1"/>
  <c r="C18" i="1"/>
  <c r="E18" i="1" s="1"/>
  <c r="F18" i="1" s="1"/>
  <c r="E19" i="1"/>
  <c r="F19" i="1" s="1"/>
  <c r="C20" i="1"/>
  <c r="E20" i="1" s="1"/>
  <c r="F20" i="1" s="1"/>
  <c r="C21" i="1"/>
  <c r="E21" i="1" s="1"/>
  <c r="F21" i="1" s="1"/>
  <c r="H35" i="3" l="1"/>
  <c r="J35" i="3" s="1"/>
  <c r="I35" i="3"/>
  <c r="I31" i="3"/>
  <c r="H31" i="3"/>
  <c r="J31" i="3" s="1"/>
  <c r="H27" i="3"/>
  <c r="I27" i="3"/>
  <c r="J27" i="3"/>
  <c r="I23" i="3"/>
  <c r="H23" i="3"/>
  <c r="J23" i="3" s="1"/>
  <c r="H19" i="3"/>
  <c r="J19" i="3" s="1"/>
  <c r="I19" i="3"/>
  <c r="H38" i="3"/>
  <c r="I38" i="3"/>
  <c r="J38" i="3"/>
  <c r="H34" i="3"/>
  <c r="I34" i="3"/>
  <c r="J34" i="3"/>
  <c r="H30" i="3"/>
  <c r="J30" i="3" s="1"/>
  <c r="I30" i="3"/>
  <c r="H26" i="3"/>
  <c r="J26" i="3" s="1"/>
  <c r="I26" i="3"/>
  <c r="H22" i="3"/>
  <c r="I22" i="3"/>
  <c r="J22" i="3"/>
  <c r="I39" i="3"/>
  <c r="H39" i="3"/>
  <c r="J39" i="3" s="1"/>
  <c r="J37" i="3"/>
  <c r="H37" i="3"/>
  <c r="I37" i="3"/>
  <c r="H33" i="3"/>
  <c r="J33" i="3" s="1"/>
  <c r="I33" i="3"/>
  <c r="I29" i="3"/>
  <c r="H29" i="3"/>
  <c r="J29" i="3" s="1"/>
  <c r="H25" i="3"/>
  <c r="J25" i="3" s="1"/>
  <c r="I25" i="3"/>
  <c r="J21" i="3"/>
  <c r="H21" i="3"/>
  <c r="I21" i="3"/>
  <c r="H18" i="3"/>
  <c r="J18" i="3" s="1"/>
  <c r="I18" i="3"/>
  <c r="I36" i="3"/>
  <c r="H36" i="3"/>
  <c r="J36" i="3" s="1"/>
  <c r="I32" i="3"/>
  <c r="H32" i="3"/>
  <c r="J32" i="3" s="1"/>
  <c r="I28" i="3"/>
  <c r="H28" i="3"/>
  <c r="J28" i="3" s="1"/>
  <c r="I24" i="3"/>
  <c r="J24" i="3"/>
  <c r="H24" i="3"/>
  <c r="H20" i="3"/>
  <c r="I20" i="3"/>
  <c r="J20" i="3"/>
  <c r="I38" i="2"/>
  <c r="J38" i="2" s="1"/>
  <c r="H38" i="2"/>
  <c r="I34" i="2"/>
  <c r="H34" i="2"/>
  <c r="J34" i="2" s="1"/>
  <c r="I30" i="2"/>
  <c r="H30" i="2"/>
  <c r="J30" i="2" s="1"/>
  <c r="I26" i="2"/>
  <c r="H26" i="2"/>
  <c r="J26" i="2" s="1"/>
  <c r="I22" i="2"/>
  <c r="H22" i="2"/>
  <c r="J22" i="2" s="1"/>
  <c r="J18" i="2"/>
  <c r="I18" i="2"/>
  <c r="H18" i="2"/>
  <c r="I17" i="2"/>
  <c r="H17" i="2"/>
  <c r="J17" i="2" s="1"/>
  <c r="I37" i="2"/>
  <c r="H37" i="2"/>
  <c r="J37" i="2" s="1"/>
  <c r="I33" i="2"/>
  <c r="J33" i="2" s="1"/>
  <c r="H33" i="2"/>
  <c r="I29" i="2"/>
  <c r="H29" i="2"/>
  <c r="J29" i="2" s="1"/>
  <c r="I25" i="2"/>
  <c r="H25" i="2"/>
  <c r="J25" i="2" s="1"/>
  <c r="I21" i="2"/>
  <c r="H21" i="2"/>
  <c r="J21" i="2" s="1"/>
  <c r="I40" i="2"/>
  <c r="H40" i="2"/>
  <c r="J40" i="2" s="1"/>
  <c r="J36" i="2"/>
  <c r="I36" i="2"/>
  <c r="H36" i="2"/>
  <c r="I32" i="2"/>
  <c r="H32" i="2"/>
  <c r="J32" i="2" s="1"/>
  <c r="I28" i="2"/>
  <c r="H28" i="2"/>
  <c r="J28" i="2" s="1"/>
  <c r="I24" i="2"/>
  <c r="J24" i="2" s="1"/>
  <c r="H24" i="2"/>
  <c r="I20" i="2"/>
  <c r="H20" i="2"/>
  <c r="J20" i="2" s="1"/>
  <c r="I39" i="2"/>
  <c r="H39" i="2"/>
  <c r="J39" i="2" s="1"/>
  <c r="I35" i="2"/>
  <c r="H35" i="2"/>
  <c r="J35" i="2" s="1"/>
  <c r="I31" i="2"/>
  <c r="H31" i="2"/>
  <c r="J31" i="2" s="1"/>
  <c r="J27" i="2"/>
  <c r="I27" i="2"/>
  <c r="H27" i="2"/>
  <c r="I23" i="2"/>
  <c r="H23" i="2"/>
  <c r="J23" i="2" s="1"/>
  <c r="I19" i="2"/>
  <c r="H19" i="2"/>
  <c r="J19" i="2" s="1"/>
  <c r="E19" i="4"/>
  <c r="F19" i="4" s="1"/>
  <c r="K19" i="4" s="1"/>
  <c r="J19" i="4"/>
  <c r="H18" i="1"/>
  <c r="I18" i="1"/>
  <c r="H17" i="1"/>
  <c r="I17" i="1"/>
  <c r="H20" i="1"/>
  <c r="I20" i="1"/>
  <c r="I21" i="1"/>
  <c r="H21" i="1"/>
  <c r="I19" i="1"/>
  <c r="H19" i="1"/>
  <c r="K22" i="4"/>
  <c r="K18" i="4"/>
  <c r="E23" i="4"/>
  <c r="F23" i="4" s="1"/>
  <c r="E21" i="4"/>
  <c r="F21" i="4" s="1"/>
  <c r="E17" i="4"/>
  <c r="F17" i="4" s="1"/>
  <c r="J17" i="4" s="1"/>
  <c r="E20" i="4"/>
  <c r="F20" i="4" s="1"/>
  <c r="H22" i="4"/>
  <c r="L22" i="4" s="1"/>
  <c r="M22" i="4" s="1"/>
  <c r="H18" i="4"/>
  <c r="L18" i="4" s="1"/>
  <c r="M18" i="4" s="1"/>
  <c r="L19" i="4" l="1"/>
  <c r="M19" i="4" s="1"/>
  <c r="J20" i="4"/>
  <c r="J21" i="4"/>
  <c r="L21" i="4" s="1"/>
  <c r="M21" i="4" s="1"/>
  <c r="J23" i="4"/>
  <c r="K20" i="4"/>
  <c r="K21" i="4"/>
  <c r="K17" i="4"/>
  <c r="L17" i="4" s="1"/>
  <c r="M17" i="4" s="1"/>
  <c r="K23" i="4"/>
  <c r="L23" i="4" s="1"/>
  <c r="M23" i="4" s="1"/>
  <c r="L20" i="4" l="1"/>
  <c r="M20" i="4" s="1"/>
</calcChain>
</file>

<file path=xl/sharedStrings.xml><?xml version="1.0" encoding="utf-8"?>
<sst xmlns="http://schemas.openxmlformats.org/spreadsheetml/2006/main" count="210" uniqueCount="88">
  <si>
    <t>Ионы амония</t>
  </si>
  <si>
    <t>Нитриты</t>
  </si>
  <si>
    <t>Нитраты</t>
  </si>
  <si>
    <t>Фториды</t>
  </si>
  <si>
    <t>Хлориды</t>
  </si>
  <si>
    <t>Сульфаты</t>
  </si>
  <si>
    <t>Окисляемость перманганатная</t>
  </si>
  <si>
    <t>Жесткость</t>
  </si>
  <si>
    <t>Марганец</t>
  </si>
  <si>
    <t>Железо</t>
  </si>
  <si>
    <t>Медь</t>
  </si>
  <si>
    <t>Цинк</t>
  </si>
  <si>
    <t>Мышьяк</t>
  </si>
  <si>
    <t>Сухой остаток</t>
  </si>
  <si>
    <t>Нефтепродукты</t>
  </si>
  <si>
    <t>Фенолы</t>
  </si>
  <si>
    <t>АПАВ</t>
  </si>
  <si>
    <t>Остаточный хлор</t>
  </si>
  <si>
    <t>Мутность</t>
  </si>
  <si>
    <t>Цветность</t>
  </si>
  <si>
    <t>Запах</t>
  </si>
  <si>
    <t>Привкус</t>
  </si>
  <si>
    <t>Электропроводность</t>
  </si>
  <si>
    <t>Щелочность</t>
  </si>
  <si>
    <t>Фосфаты</t>
  </si>
  <si>
    <t>ХПК</t>
  </si>
  <si>
    <t>Растворенный кислород</t>
  </si>
  <si>
    <t>БПК</t>
  </si>
  <si>
    <t>Хром</t>
  </si>
  <si>
    <t>Алюминий</t>
  </si>
  <si>
    <t>Фенол</t>
  </si>
  <si>
    <t>Взвешенные вещества</t>
  </si>
  <si>
    <t>Фосфор общий</t>
  </si>
  <si>
    <t>Ионы водорода</t>
  </si>
  <si>
    <t>руб.</t>
  </si>
  <si>
    <t xml:space="preserve"> +</t>
  </si>
  <si>
    <t xml:space="preserve"> =</t>
  </si>
  <si>
    <t>№        п/п</t>
  </si>
  <si>
    <t>Наименование анализа</t>
  </si>
  <si>
    <t>Начальник ПЭО</t>
  </si>
  <si>
    <t>Исполнитель</t>
  </si>
  <si>
    <t>Никель</t>
  </si>
  <si>
    <t>Свинец</t>
  </si>
  <si>
    <t>ОМЧ (Общее микробное число)</t>
  </si>
  <si>
    <t>ОКБ (Общие колиформные бактерии)</t>
  </si>
  <si>
    <t>ТКБ (Термотолерантные колиформные бактерии)</t>
  </si>
  <si>
    <t>Колифаги</t>
  </si>
  <si>
    <t>Сульфитредуцирующие клостридии</t>
  </si>
  <si>
    <t>Калькуляция</t>
  </si>
  <si>
    <t>УТВЕРЖДАЮ</t>
  </si>
  <si>
    <t>Время на одно определение, чел/час</t>
  </si>
  <si>
    <t>Стоимость чел/час,  руб.</t>
  </si>
  <si>
    <t>ФОТ, руб.</t>
  </si>
  <si>
    <t>Итого затрат, руб.</t>
  </si>
  <si>
    <t>чел/час</t>
  </si>
  <si>
    <t>маш/час</t>
  </si>
  <si>
    <t>Стоимость материалов (реактивы,эл.энергия, дистил.вода) без НДС, руб.</t>
  </si>
  <si>
    <t>"____" ____________20___г.</t>
  </si>
  <si>
    <t>А.Б. Анисимов</t>
  </si>
  <si>
    <t>Тел. 214-640</t>
  </si>
  <si>
    <t>к приказу от__________№__________</t>
  </si>
  <si>
    <t>Директор МУП "Водоканал"</t>
  </si>
  <si>
    <t>г. Иркутска</t>
  </si>
  <si>
    <t>__________С.В. Пыхтин</t>
  </si>
  <si>
    <t>Приложение № 1</t>
  </si>
  <si>
    <t>Приложение № 2</t>
  </si>
  <si>
    <t>Приложение № 3</t>
  </si>
  <si>
    <t>Приложение № 4</t>
  </si>
  <si>
    <t xml:space="preserve">стоимости показателей,  определяемых на приборе МГА - 519 М МУП "Водоканал" г. Иркутска </t>
  </si>
  <si>
    <t>(вводится в действие с 01.08.2017)</t>
  </si>
  <si>
    <t>Стоимость 1 маш/часа работы прибора МГА - 519 М,  руб.</t>
  </si>
  <si>
    <t>Итого стоимость работы прибора МГА - 519 М,  руб.</t>
  </si>
  <si>
    <t>Стоимость материалов (реактивы, электроэнергия, дистилированная вода) без НДС, руб.</t>
  </si>
  <si>
    <t>Автомобиль Фиат Добло</t>
  </si>
  <si>
    <t xml:space="preserve">Гипохлорид натр. + з/п лаборанта = </t>
  </si>
  <si>
    <t>Инженер - химик 1 категории</t>
  </si>
  <si>
    <t>Лаборант химического анализа 5 р.</t>
  </si>
  <si>
    <t>В случае выезда на отбор проб дополнительно за 1 час:</t>
  </si>
  <si>
    <t>Накладные расходы от ФОТ (366,27 %), руб.</t>
  </si>
  <si>
    <t>Рентабельность от ФОТ (5 %), руб.</t>
  </si>
  <si>
    <t>Итого стоимость анализа с НДС, руб.</t>
  </si>
  <si>
    <t>Итого ФОТ с 13-й зарплатой и выслугой лет (13 %), руб.</t>
  </si>
  <si>
    <t>Г.В. Брюхнова</t>
  </si>
  <si>
    <t xml:space="preserve">стоимости показателей,  определяемых при бактериологическом анализе МУП "Водоканал" г. Иркутска </t>
  </si>
  <si>
    <t>Приготовление дезинфицирующих растворов:</t>
  </si>
  <si>
    <t xml:space="preserve">стоимости показателей,  определяемых при анализе питьевой воды МУП "Водоканал" г. Иркутска </t>
  </si>
  <si>
    <t xml:space="preserve">стоимости показателей,  определяемых при анализе сточной  воды МУП "Водоканал" г. Иркутска </t>
  </si>
  <si>
    <t>Итого ФОТ с 13-й зарплатой и выслугой лет (13%),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</si>
</sst>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/>
    <xf numFmtId="0" fontId="3" fillId="0" borderId="0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2" fontId="1" fillId="0" borderId="0" xfId="0" applyNumberFormat="1" applyFont="1" applyFill="1" applyAlignment="1">
      <alignment horizontal="right"/>
    </xf>
    <xf numFmtId="0" fontId="4" fillId="0" borderId="0" xfId="0" applyFont="1"/>
    <xf numFmtId="0" fontId="5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4" fontId="1" fillId="0" borderId="0" xfId="0" applyNumberFormat="1" applyFont="1"/>
    <xf numFmtId="0" fontId="0" fillId="0" borderId="0" xfId="0" applyBorder="1"/>
    <xf numFmtId="16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2" fontId="0" fillId="0" borderId="0" xfId="0" applyNumberFormat="1"/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0" fillId="0" borderId="0" xfId="0" applyAlignment="1"/>
    <xf numFmtId="0" fontId="5" fillId="0" borderId="17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wrapText="1"/>
    </xf>
    <xf numFmtId="1" fontId="1" fillId="0" borderId="0" xfId="0" applyNumberFormat="1" applyFont="1"/>
    <xf numFmtId="165" fontId="1" fillId="0" borderId="0" xfId="0" applyNumberFormat="1" applyFont="1"/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1" fillId="0" borderId="11" xfId="0" applyFont="1" applyBorder="1"/>
    <xf numFmtId="0" fontId="5" fillId="0" borderId="1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3" workbookViewId="0">
      <selection activeCell="S17" sqref="S17:T23"/>
    </sheetView>
  </sheetViews>
  <sheetFormatPr defaultRowHeight="15.75" x14ac:dyDescent="0.25"/>
  <cols>
    <col min="1" max="1" width="4" style="7" customWidth="1"/>
    <col min="2" max="2" width="15.140625" style="7" customWidth="1"/>
    <col min="3" max="3" width="9.140625" style="7"/>
    <col min="4" max="4" width="11.42578125" style="7" customWidth="1"/>
    <col min="5" max="5" width="9.5703125" style="7" customWidth="1"/>
    <col min="6" max="6" width="10.5703125" style="7" customWidth="1"/>
    <col min="7" max="7" width="11.42578125" style="7" customWidth="1"/>
    <col min="8" max="9" width="12.28515625" style="7" customWidth="1"/>
    <col min="10" max="10" width="11.7109375" style="7" customWidth="1"/>
    <col min="11" max="11" width="10.5703125" style="7" customWidth="1"/>
    <col min="12" max="12" width="13.140625" style="7" customWidth="1"/>
    <col min="13" max="13" width="12.42578125" style="7" customWidth="1"/>
    <col min="14" max="17" width="9.140625" style="7"/>
    <col min="18" max="18" width="11.5703125" style="7" bestFit="1" customWidth="1"/>
    <col min="19" max="16384" width="9.140625" style="7"/>
  </cols>
  <sheetData>
    <row r="1" spans="1:13" x14ac:dyDescent="0.25">
      <c r="K1" s="7" t="s">
        <v>64</v>
      </c>
    </row>
    <row r="2" spans="1:13" x14ac:dyDescent="0.25">
      <c r="K2" s="7" t="s">
        <v>60</v>
      </c>
    </row>
    <row r="4" spans="1:13" x14ac:dyDescent="0.25">
      <c r="K4" s="7" t="s">
        <v>49</v>
      </c>
    </row>
    <row r="5" spans="1:13" x14ac:dyDescent="0.25">
      <c r="K5" s="7" t="s">
        <v>61</v>
      </c>
    </row>
    <row r="6" spans="1:13" x14ac:dyDescent="0.25">
      <c r="K6" s="7" t="s">
        <v>62</v>
      </c>
    </row>
    <row r="7" spans="1:13" x14ac:dyDescent="0.25">
      <c r="K7" s="7" t="s">
        <v>63</v>
      </c>
    </row>
    <row r="8" spans="1:13" x14ac:dyDescent="0.25">
      <c r="K8" s="7" t="s">
        <v>57</v>
      </c>
    </row>
    <row r="10" spans="1:13" x14ac:dyDescent="0.25">
      <c r="G10" s="17" t="s">
        <v>48</v>
      </c>
      <c r="K10" s="17"/>
    </row>
    <row r="11" spans="1:13" x14ac:dyDescent="0.25">
      <c r="C11" s="31" t="s">
        <v>68</v>
      </c>
      <c r="D11" s="31"/>
      <c r="E11" s="31"/>
      <c r="F11" s="31"/>
      <c r="G11" s="31"/>
      <c r="H11" s="31"/>
      <c r="I11" s="31"/>
      <c r="J11" s="31"/>
      <c r="K11" s="31"/>
      <c r="L11" s="31"/>
    </row>
    <row r="12" spans="1:13" ht="16.5" thickBot="1" x14ac:dyDescent="0.3">
      <c r="F12" s="7" t="s">
        <v>69</v>
      </c>
    </row>
    <row r="13" spans="1:13" ht="15.75" customHeight="1" x14ac:dyDescent="0.25">
      <c r="A13" s="42" t="s">
        <v>37</v>
      </c>
      <c r="B13" s="43" t="s">
        <v>38</v>
      </c>
      <c r="C13" s="43" t="s">
        <v>50</v>
      </c>
      <c r="D13" s="43" t="s">
        <v>51</v>
      </c>
      <c r="E13" s="43" t="s">
        <v>52</v>
      </c>
      <c r="F13" s="43" t="s">
        <v>81</v>
      </c>
      <c r="G13" s="43" t="s">
        <v>70</v>
      </c>
      <c r="H13" s="43" t="s">
        <v>71</v>
      </c>
      <c r="I13" s="43" t="s">
        <v>72</v>
      </c>
      <c r="J13" s="43" t="s">
        <v>78</v>
      </c>
      <c r="K13" s="43" t="s">
        <v>79</v>
      </c>
      <c r="L13" s="43" t="s">
        <v>53</v>
      </c>
      <c r="M13" s="56" t="s">
        <v>80</v>
      </c>
    </row>
    <row r="14" spans="1:13" ht="15.75" customHeigh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57"/>
    </row>
    <row r="15" spans="1:13" ht="15.7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7"/>
    </row>
    <row r="16" spans="1:13" ht="99" customHeight="1" thickBot="1" x14ac:dyDescent="0.3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9"/>
    </row>
    <row r="17" spans="1:20" x14ac:dyDescent="0.25">
      <c r="A17" s="37">
        <v>1</v>
      </c>
      <c r="B17" s="38" t="s">
        <v>41</v>
      </c>
      <c r="C17" s="39">
        <f>79/60</f>
        <v>1.3166666666666667</v>
      </c>
      <c r="D17" s="40">
        <v>240.24</v>
      </c>
      <c r="E17" s="40">
        <f>D17*C17</f>
        <v>316.31600000000003</v>
      </c>
      <c r="F17" s="40">
        <f>E17*1.13</f>
        <v>357.43707999999998</v>
      </c>
      <c r="G17" s="40">
        <v>70.900000000000006</v>
      </c>
      <c r="H17" s="40">
        <f>G17*C17</f>
        <v>93.351666666666674</v>
      </c>
      <c r="I17" s="40">
        <f>42.54*1.023*1.094+850</f>
        <v>897.60915148000004</v>
      </c>
      <c r="J17" s="40">
        <f>F17*(4.0627-0.4)</f>
        <v>1309.1847929160001</v>
      </c>
      <c r="K17" s="40">
        <f>F17*0.05</f>
        <v>17.871853999999999</v>
      </c>
      <c r="L17" s="40">
        <f>F17+H17+I17+J17+K17</f>
        <v>2675.4545450626665</v>
      </c>
      <c r="M17" s="53">
        <f>L17*1.18</f>
        <v>3157.0363631739465</v>
      </c>
      <c r="S17" s="61"/>
      <c r="T17" s="10"/>
    </row>
    <row r="18" spans="1:20" x14ac:dyDescent="0.25">
      <c r="A18" s="15">
        <f t="shared" ref="A18:A23" si="0">A17+1</f>
        <v>2</v>
      </c>
      <c r="B18" s="18" t="s">
        <v>42</v>
      </c>
      <c r="C18" s="5">
        <f>95/60</f>
        <v>1.5833333333333333</v>
      </c>
      <c r="D18" s="2">
        <v>240.24</v>
      </c>
      <c r="E18" s="2">
        <f t="shared" ref="E18:E23" si="1">D18*C18</f>
        <v>380.38</v>
      </c>
      <c r="F18" s="2">
        <f t="shared" ref="F18:F23" si="2">E18*1.13</f>
        <v>429.82939999999996</v>
      </c>
      <c r="G18" s="2">
        <v>70.900000000000006</v>
      </c>
      <c r="H18" s="2">
        <f t="shared" ref="H18:H23" si="3">G18*C18</f>
        <v>112.25833333333334</v>
      </c>
      <c r="I18" s="2">
        <f>50.25*1.023*1.074+850</f>
        <v>905.20977549999998</v>
      </c>
      <c r="J18" s="2">
        <f t="shared" ref="J18:J23" si="4">F18*(4.0627-0.4)</f>
        <v>1574.3361433800001</v>
      </c>
      <c r="K18" s="2">
        <f t="shared" ref="K18:K23" si="5">F18*0.05</f>
        <v>21.49147</v>
      </c>
      <c r="L18" s="2">
        <f t="shared" ref="L18:L23" si="6">F18+H18+I18+J18+K18</f>
        <v>3043.1251222133333</v>
      </c>
      <c r="M18" s="54">
        <f t="shared" ref="M18:M23" si="7">L18*1.18</f>
        <v>3590.887644211733</v>
      </c>
      <c r="R18" s="62"/>
      <c r="S18" s="61"/>
      <c r="T18" s="10"/>
    </row>
    <row r="19" spans="1:20" x14ac:dyDescent="0.25">
      <c r="A19" s="15">
        <f t="shared" si="0"/>
        <v>3</v>
      </c>
      <c r="B19" s="18" t="s">
        <v>9</v>
      </c>
      <c r="C19" s="5">
        <f>90/60</f>
        <v>1.5</v>
      </c>
      <c r="D19" s="2">
        <v>240.24</v>
      </c>
      <c r="E19" s="2">
        <f t="shared" si="1"/>
        <v>360.36</v>
      </c>
      <c r="F19" s="2">
        <f t="shared" si="2"/>
        <v>407.20679999999999</v>
      </c>
      <c r="G19" s="2">
        <v>70.900000000000006</v>
      </c>
      <c r="H19" s="2">
        <f t="shared" si="3"/>
        <v>106.35000000000001</v>
      </c>
      <c r="I19" s="2">
        <f>47.84*1.023*1.074+850</f>
        <v>902.56190368</v>
      </c>
      <c r="J19" s="2">
        <f t="shared" si="4"/>
        <v>1491.4763463600002</v>
      </c>
      <c r="K19" s="2">
        <f t="shared" si="5"/>
        <v>20.360340000000001</v>
      </c>
      <c r="L19" s="2">
        <f t="shared" si="6"/>
        <v>2927.9553900400006</v>
      </c>
      <c r="M19" s="54">
        <f t="shared" si="7"/>
        <v>3454.9873602472003</v>
      </c>
      <c r="S19" s="61"/>
      <c r="T19" s="10"/>
    </row>
    <row r="20" spans="1:20" x14ac:dyDescent="0.25">
      <c r="A20" s="15">
        <f t="shared" si="0"/>
        <v>4</v>
      </c>
      <c r="B20" s="18" t="s">
        <v>29</v>
      </c>
      <c r="C20" s="5">
        <f>75/60</f>
        <v>1.25</v>
      </c>
      <c r="D20" s="2">
        <v>240.24</v>
      </c>
      <c r="E20" s="2">
        <f t="shared" si="1"/>
        <v>300.3</v>
      </c>
      <c r="F20" s="2">
        <f t="shared" si="2"/>
        <v>339.339</v>
      </c>
      <c r="G20" s="2">
        <v>70.900000000000006</v>
      </c>
      <c r="H20" s="2">
        <f t="shared" si="3"/>
        <v>88.625</v>
      </c>
      <c r="I20" s="2">
        <f>40.62*1.023*1.074+850</f>
        <v>894.62927523999997</v>
      </c>
      <c r="J20" s="2">
        <f t="shared" si="4"/>
        <v>1242.8969553000002</v>
      </c>
      <c r="K20" s="2">
        <f t="shared" si="5"/>
        <v>16.966950000000001</v>
      </c>
      <c r="L20" s="2">
        <f t="shared" si="6"/>
        <v>2582.4571805400001</v>
      </c>
      <c r="M20" s="54">
        <f t="shared" si="7"/>
        <v>3047.2994730371997</v>
      </c>
      <c r="S20" s="61"/>
      <c r="T20" s="10"/>
    </row>
    <row r="21" spans="1:20" x14ac:dyDescent="0.25">
      <c r="A21" s="15">
        <f t="shared" si="0"/>
        <v>5</v>
      </c>
      <c r="B21" s="18" t="s">
        <v>10</v>
      </c>
      <c r="C21" s="5">
        <f>96/60</f>
        <v>1.6</v>
      </c>
      <c r="D21" s="2">
        <v>240.24</v>
      </c>
      <c r="E21" s="2">
        <f t="shared" si="1"/>
        <v>384.38400000000001</v>
      </c>
      <c r="F21" s="2">
        <f t="shared" si="2"/>
        <v>434.35391999999996</v>
      </c>
      <c r="G21" s="2">
        <v>70.900000000000006</v>
      </c>
      <c r="H21" s="2">
        <f t="shared" si="3"/>
        <v>113.44000000000001</v>
      </c>
      <c r="I21" s="2">
        <f>50.73*1.023*1.074+850</f>
        <v>905.73715245999995</v>
      </c>
      <c r="J21" s="2">
        <f t="shared" si="4"/>
        <v>1590.908102784</v>
      </c>
      <c r="K21" s="2">
        <f t="shared" si="5"/>
        <v>21.717696</v>
      </c>
      <c r="L21" s="2">
        <f t="shared" si="6"/>
        <v>3066.1568712439998</v>
      </c>
      <c r="M21" s="54">
        <f t="shared" si="7"/>
        <v>3618.0651080679195</v>
      </c>
      <c r="S21" s="61"/>
      <c r="T21" s="10"/>
    </row>
    <row r="22" spans="1:20" x14ac:dyDescent="0.25">
      <c r="A22" s="15">
        <f t="shared" si="0"/>
        <v>6</v>
      </c>
      <c r="B22" s="18" t="s">
        <v>28</v>
      </c>
      <c r="C22" s="5">
        <f>80/60</f>
        <v>1.3333333333333333</v>
      </c>
      <c r="D22" s="2">
        <v>240.24</v>
      </c>
      <c r="E22" s="2">
        <f t="shared" si="1"/>
        <v>320.32</v>
      </c>
      <c r="F22" s="2">
        <f t="shared" si="2"/>
        <v>361.96159999999998</v>
      </c>
      <c r="G22" s="2">
        <v>70.900000000000006</v>
      </c>
      <c r="H22" s="2">
        <f t="shared" si="3"/>
        <v>94.533333333333331</v>
      </c>
      <c r="I22" s="2">
        <f>43.02*1.023*1.074+850</f>
        <v>897.26616004000005</v>
      </c>
      <c r="J22" s="2">
        <f t="shared" si="4"/>
        <v>1325.75675232</v>
      </c>
      <c r="K22" s="2">
        <f t="shared" si="5"/>
        <v>18.09808</v>
      </c>
      <c r="L22" s="2">
        <f t="shared" si="6"/>
        <v>2697.6159256933338</v>
      </c>
      <c r="M22" s="54">
        <f t="shared" si="7"/>
        <v>3183.1867923181335</v>
      </c>
      <c r="S22" s="61"/>
      <c r="T22" s="10"/>
    </row>
    <row r="23" spans="1:20" ht="16.5" thickBot="1" x14ac:dyDescent="0.3">
      <c r="A23" s="16">
        <f t="shared" si="0"/>
        <v>7</v>
      </c>
      <c r="B23" s="19" t="s">
        <v>11</v>
      </c>
      <c r="C23" s="6">
        <f>90/60</f>
        <v>1.5</v>
      </c>
      <c r="D23" s="4">
        <v>240.24</v>
      </c>
      <c r="E23" s="4">
        <f t="shared" si="1"/>
        <v>360.36</v>
      </c>
      <c r="F23" s="4">
        <f t="shared" si="2"/>
        <v>407.20679999999999</v>
      </c>
      <c r="G23" s="4">
        <v>70.900000000000006</v>
      </c>
      <c r="H23" s="4">
        <f t="shared" si="3"/>
        <v>106.35000000000001</v>
      </c>
      <c r="I23" s="4">
        <f>47.84*1.023*1.074+850</f>
        <v>902.56190368</v>
      </c>
      <c r="J23" s="4">
        <f t="shared" si="4"/>
        <v>1491.4763463600002</v>
      </c>
      <c r="K23" s="4">
        <f t="shared" si="5"/>
        <v>20.360340000000001</v>
      </c>
      <c r="L23" s="4">
        <f t="shared" si="6"/>
        <v>2927.9553900400006</v>
      </c>
      <c r="M23" s="55">
        <f t="shared" si="7"/>
        <v>3454.9873602472003</v>
      </c>
      <c r="S23" s="61"/>
      <c r="T23" s="10"/>
    </row>
    <row r="26" spans="1:20" x14ac:dyDescent="0.25">
      <c r="A26" s="7" t="s">
        <v>39</v>
      </c>
      <c r="E26" s="31"/>
      <c r="F26" s="31"/>
      <c r="K26" s="31" t="s">
        <v>82</v>
      </c>
      <c r="L26" s="31"/>
    </row>
    <row r="29" spans="1:20" x14ac:dyDescent="0.25">
      <c r="A29" s="7" t="s">
        <v>40</v>
      </c>
    </row>
    <row r="30" spans="1:20" x14ac:dyDescent="0.25">
      <c r="A30" s="36" t="s">
        <v>58</v>
      </c>
    </row>
    <row r="31" spans="1:20" x14ac:dyDescent="0.25">
      <c r="A31" s="36" t="s">
        <v>59</v>
      </c>
    </row>
  </sheetData>
  <mergeCells count="16">
    <mergeCell ref="C11:L11"/>
    <mergeCell ref="A13:A16"/>
    <mergeCell ref="B13:B16"/>
    <mergeCell ref="C13:C16"/>
    <mergeCell ref="D13:D16"/>
    <mergeCell ref="E13:E16"/>
    <mergeCell ref="I13:I16"/>
    <mergeCell ref="M13:M16"/>
    <mergeCell ref="E26:F26"/>
    <mergeCell ref="K26:L26"/>
    <mergeCell ref="G13:G16"/>
    <mergeCell ref="H13:H16"/>
    <mergeCell ref="J13:J16"/>
    <mergeCell ref="K13:K16"/>
    <mergeCell ref="L13:L16"/>
    <mergeCell ref="F13:F16"/>
  </mergeCells>
  <phoneticPr fontId="2" type="noConversion"/>
  <pageMargins left="0.78740157480314965" right="0.19685039370078741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B11" sqref="B11:J11"/>
    </sheetView>
  </sheetViews>
  <sheetFormatPr defaultRowHeight="12.75" x14ac:dyDescent="0.2"/>
  <cols>
    <col min="1" max="1" width="5.140625" customWidth="1"/>
    <col min="2" max="2" width="35.28515625" customWidth="1"/>
    <col min="4" max="4" width="12" customWidth="1"/>
    <col min="5" max="5" width="9.42578125" customWidth="1"/>
    <col min="6" max="6" width="13" customWidth="1"/>
    <col min="7" max="7" width="15.140625" customWidth="1"/>
    <col min="8" max="8" width="12" customWidth="1"/>
    <col min="9" max="9" width="16.28515625" customWidth="1"/>
    <col min="10" max="10" width="11" customWidth="1"/>
    <col min="11" max="11" width="12.140625" customWidth="1"/>
    <col min="14" max="14" width="12.42578125" customWidth="1"/>
  </cols>
  <sheetData>
    <row r="1" spans="1:18" ht="15.75" x14ac:dyDescent="0.25">
      <c r="I1" s="7" t="s">
        <v>65</v>
      </c>
      <c r="K1" s="7"/>
    </row>
    <row r="2" spans="1:18" ht="15.75" x14ac:dyDescent="0.25">
      <c r="I2" s="7" t="s">
        <v>60</v>
      </c>
      <c r="K2" s="7"/>
    </row>
    <row r="3" spans="1:18" ht="15.75" x14ac:dyDescent="0.25">
      <c r="I3" s="7"/>
      <c r="K3" s="7"/>
    </row>
    <row r="4" spans="1:18" ht="15.75" x14ac:dyDescent="0.25">
      <c r="I4" s="7" t="s">
        <v>49</v>
      </c>
      <c r="K4" s="7"/>
    </row>
    <row r="5" spans="1:18" ht="15.75" x14ac:dyDescent="0.25">
      <c r="I5" s="7" t="s">
        <v>61</v>
      </c>
      <c r="K5" s="7"/>
    </row>
    <row r="6" spans="1:18" ht="15.75" x14ac:dyDescent="0.25">
      <c r="I6" s="7" t="s">
        <v>62</v>
      </c>
      <c r="K6" s="7"/>
    </row>
    <row r="7" spans="1:18" ht="15.75" x14ac:dyDescent="0.25">
      <c r="I7" s="7" t="s">
        <v>63</v>
      </c>
      <c r="K7" s="7"/>
    </row>
    <row r="8" spans="1:18" ht="15.75" x14ac:dyDescent="0.25">
      <c r="I8" s="7" t="s">
        <v>57</v>
      </c>
      <c r="K8" s="7"/>
    </row>
    <row r="10" spans="1:18" ht="15.75" x14ac:dyDescent="0.25">
      <c r="E10" s="17" t="s">
        <v>48</v>
      </c>
      <c r="F10" s="7"/>
      <c r="G10" s="7"/>
      <c r="I10" s="17"/>
      <c r="J10" s="7"/>
    </row>
    <row r="11" spans="1:18" ht="15.75" x14ac:dyDescent="0.25">
      <c r="B11" s="31" t="s">
        <v>83</v>
      </c>
      <c r="C11" s="58"/>
      <c r="D11" s="58"/>
      <c r="E11" s="58"/>
      <c r="F11" s="58"/>
      <c r="G11" s="58"/>
      <c r="H11" s="58"/>
      <c r="I11" s="58"/>
      <c r="J11" s="58"/>
    </row>
    <row r="12" spans="1:18" ht="16.5" thickBot="1" x14ac:dyDescent="0.3">
      <c r="A12" s="7"/>
      <c r="B12" s="7"/>
      <c r="C12" s="7"/>
      <c r="D12" s="7" t="s">
        <v>69</v>
      </c>
      <c r="E12" s="7"/>
      <c r="F12" s="7"/>
      <c r="G12" s="7"/>
    </row>
    <row r="13" spans="1:18" ht="15.75" customHeight="1" x14ac:dyDescent="0.2">
      <c r="A13" s="42" t="s">
        <v>37</v>
      </c>
      <c r="B13" s="43" t="s">
        <v>38</v>
      </c>
      <c r="C13" s="43" t="s">
        <v>50</v>
      </c>
      <c r="D13" s="43" t="s">
        <v>51</v>
      </c>
      <c r="E13" s="43" t="s">
        <v>52</v>
      </c>
      <c r="F13" s="43" t="s">
        <v>81</v>
      </c>
      <c r="G13" s="43" t="s">
        <v>56</v>
      </c>
      <c r="H13" s="43" t="s">
        <v>78</v>
      </c>
      <c r="I13" s="43" t="s">
        <v>79</v>
      </c>
      <c r="J13" s="43" t="s">
        <v>53</v>
      </c>
      <c r="K13" s="56" t="s">
        <v>80</v>
      </c>
      <c r="P13" s="21"/>
      <c r="Q13" s="21"/>
      <c r="R13" s="21"/>
    </row>
    <row r="14" spans="1:18" ht="15.75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57"/>
      <c r="P14" s="21"/>
      <c r="Q14" s="21"/>
      <c r="R14" s="21"/>
    </row>
    <row r="15" spans="1:18" ht="15.75" customHeight="1" x14ac:dyDescent="0.2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57"/>
    </row>
    <row r="16" spans="1:18" ht="57.75" customHeight="1" thickBot="1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9"/>
      <c r="N16" s="26"/>
    </row>
    <row r="17" spans="1:15" ht="21" customHeight="1" x14ac:dyDescent="0.25">
      <c r="A17" s="63">
        <v>1</v>
      </c>
      <c r="B17" s="64" t="s">
        <v>43</v>
      </c>
      <c r="C17" s="65">
        <f>100/60</f>
        <v>1.6666666666666667</v>
      </c>
      <c r="D17" s="66">
        <v>240.24</v>
      </c>
      <c r="E17" s="65">
        <f>D17*C17</f>
        <v>400.40000000000003</v>
      </c>
      <c r="F17" s="65">
        <f>E17*1.13</f>
        <v>452.452</v>
      </c>
      <c r="G17" s="65">
        <f>44.5*1.023*1.074</f>
        <v>48.892239000000004</v>
      </c>
      <c r="H17" s="65">
        <f>F17*(4.0627-0.4)</f>
        <v>1657.1959404000002</v>
      </c>
      <c r="I17" s="65">
        <f>F17*0.05</f>
        <v>22.622600000000002</v>
      </c>
      <c r="J17" s="65">
        <f>F17+G17+H17+I17</f>
        <v>2181.1627794000001</v>
      </c>
      <c r="K17" s="67">
        <f>J17*1.18</f>
        <v>2573.7720796919998</v>
      </c>
      <c r="N17" s="27"/>
      <c r="O17" s="41"/>
    </row>
    <row r="18" spans="1:15" ht="31.5" customHeight="1" x14ac:dyDescent="0.25">
      <c r="A18" s="68">
        <v>2</v>
      </c>
      <c r="B18" s="69" t="s">
        <v>44</v>
      </c>
      <c r="C18" s="70">
        <f>111/60</f>
        <v>1.85</v>
      </c>
      <c r="D18" s="71">
        <v>240.24</v>
      </c>
      <c r="E18" s="70">
        <f>D18*C18</f>
        <v>444.44400000000002</v>
      </c>
      <c r="F18" s="70">
        <f t="shared" ref="F18:F21" si="0">E18*1.13</f>
        <v>502.22171999999995</v>
      </c>
      <c r="G18" s="70">
        <f>55.24*1.023*1.074</f>
        <v>60.692298480000005</v>
      </c>
      <c r="H18" s="70">
        <f t="shared" ref="H18:H21" si="1">F18*(4.0627-0.4)</f>
        <v>1839.487493844</v>
      </c>
      <c r="I18" s="70">
        <f t="shared" ref="I18:I21" si="2">F18*0.05</f>
        <v>25.111086</v>
      </c>
      <c r="J18" s="70">
        <f t="shared" ref="J18:J21" si="3">F18+G18+H18+I18</f>
        <v>2427.512598324</v>
      </c>
      <c r="K18" s="72">
        <f t="shared" ref="K18:K21" si="4">J18*1.18</f>
        <v>2864.4648660223197</v>
      </c>
      <c r="N18" s="27"/>
      <c r="O18" s="41"/>
    </row>
    <row r="19" spans="1:15" ht="33" customHeight="1" x14ac:dyDescent="0.25">
      <c r="A19" s="68">
        <v>3</v>
      </c>
      <c r="B19" s="69" t="s">
        <v>45</v>
      </c>
      <c r="C19" s="70">
        <v>1.85</v>
      </c>
      <c r="D19" s="71">
        <v>240.24</v>
      </c>
      <c r="E19" s="70">
        <f>D19*C19</f>
        <v>444.44400000000002</v>
      </c>
      <c r="F19" s="70">
        <f t="shared" si="0"/>
        <v>502.22171999999995</v>
      </c>
      <c r="G19" s="70">
        <f>55.24*1.023*1.074</f>
        <v>60.692298480000005</v>
      </c>
      <c r="H19" s="70">
        <f t="shared" si="1"/>
        <v>1839.487493844</v>
      </c>
      <c r="I19" s="70">
        <f t="shared" si="2"/>
        <v>25.111086</v>
      </c>
      <c r="J19" s="70">
        <f t="shared" si="3"/>
        <v>2427.512598324</v>
      </c>
      <c r="K19" s="72">
        <f t="shared" si="4"/>
        <v>2864.4648660223197</v>
      </c>
      <c r="N19" s="27"/>
      <c r="O19" s="41"/>
    </row>
    <row r="20" spans="1:15" ht="19.5" customHeight="1" x14ac:dyDescent="0.25">
      <c r="A20" s="68">
        <v>4</v>
      </c>
      <c r="B20" s="69" t="s">
        <v>46</v>
      </c>
      <c r="C20" s="70">
        <f>114/60</f>
        <v>1.9</v>
      </c>
      <c r="D20" s="71">
        <v>240.24</v>
      </c>
      <c r="E20" s="70">
        <f>D20*C20</f>
        <v>456.45600000000002</v>
      </c>
      <c r="F20" s="70">
        <f t="shared" si="0"/>
        <v>515.79527999999993</v>
      </c>
      <c r="G20" s="70">
        <f>98.39*1.023*1.074</f>
        <v>108.10128978</v>
      </c>
      <c r="H20" s="70">
        <f t="shared" si="1"/>
        <v>1889.203372056</v>
      </c>
      <c r="I20" s="70">
        <f t="shared" si="2"/>
        <v>25.789763999999998</v>
      </c>
      <c r="J20" s="70">
        <f t="shared" si="3"/>
        <v>2538.8897058359998</v>
      </c>
      <c r="K20" s="72">
        <f t="shared" si="4"/>
        <v>2995.8898528864797</v>
      </c>
      <c r="N20" s="27"/>
      <c r="O20" s="41"/>
    </row>
    <row r="21" spans="1:15" ht="33" customHeight="1" thickBot="1" x14ac:dyDescent="0.3">
      <c r="A21" s="73">
        <v>5</v>
      </c>
      <c r="B21" s="74" t="s">
        <v>47</v>
      </c>
      <c r="C21" s="75">
        <f>45/60</f>
        <v>0.75</v>
      </c>
      <c r="D21" s="76">
        <v>240.24</v>
      </c>
      <c r="E21" s="75">
        <f>D21*C21</f>
        <v>180.18</v>
      </c>
      <c r="F21" s="75">
        <f t="shared" si="0"/>
        <v>203.60339999999999</v>
      </c>
      <c r="G21" s="75">
        <f>30.88*1.023*1.074</f>
        <v>33.92791776</v>
      </c>
      <c r="H21" s="75">
        <f t="shared" si="1"/>
        <v>745.7381731800001</v>
      </c>
      <c r="I21" s="75">
        <f t="shared" si="2"/>
        <v>10.18017</v>
      </c>
      <c r="J21" s="75">
        <f t="shared" si="3"/>
        <v>993.44966094000006</v>
      </c>
      <c r="K21" s="77">
        <f t="shared" si="4"/>
        <v>1172.2705999092</v>
      </c>
      <c r="N21" s="27"/>
      <c r="O21" s="41"/>
    </row>
    <row r="22" spans="1:15" ht="15.75" x14ac:dyDescent="0.25">
      <c r="B22" s="8" t="s">
        <v>77</v>
      </c>
      <c r="C22" s="7"/>
      <c r="D22" s="7"/>
      <c r="N22" s="26"/>
    </row>
    <row r="23" spans="1:15" ht="15.75" x14ac:dyDescent="0.25">
      <c r="B23" s="32" t="s">
        <v>75</v>
      </c>
      <c r="C23" s="32"/>
      <c r="D23" s="12" t="s">
        <v>54</v>
      </c>
      <c r="E23" s="10">
        <f>240.24*1.13</f>
        <v>271.47120000000001</v>
      </c>
      <c r="F23" s="7" t="s">
        <v>34</v>
      </c>
      <c r="G23" s="7"/>
      <c r="H23" s="7"/>
      <c r="K23" s="10"/>
      <c r="L23" s="7"/>
      <c r="N23" s="26"/>
    </row>
    <row r="24" spans="1:15" ht="15.75" customHeight="1" x14ac:dyDescent="0.25">
      <c r="B24" s="33" t="s">
        <v>76</v>
      </c>
      <c r="C24" s="33"/>
      <c r="D24" s="12" t="s">
        <v>54</v>
      </c>
      <c r="E24" s="10">
        <f>171.67*1.13</f>
        <v>193.98709999999997</v>
      </c>
      <c r="F24" s="7" t="s">
        <v>34</v>
      </c>
      <c r="G24" s="7"/>
      <c r="H24" s="7"/>
      <c r="K24" s="7"/>
      <c r="L24" s="7"/>
    </row>
    <row r="25" spans="1:15" ht="17.25" customHeight="1" x14ac:dyDescent="0.25">
      <c r="B25" s="33" t="s">
        <v>73</v>
      </c>
      <c r="C25" s="33"/>
      <c r="D25" s="13" t="s">
        <v>55</v>
      </c>
      <c r="E25" s="25">
        <v>622</v>
      </c>
      <c r="F25" s="7" t="s">
        <v>34</v>
      </c>
      <c r="G25" s="7"/>
      <c r="H25" s="7"/>
    </row>
    <row r="26" spans="1:15" ht="15.75" x14ac:dyDescent="0.25">
      <c r="B26" s="11" t="s">
        <v>84</v>
      </c>
      <c r="C26" s="7"/>
      <c r="D26" s="7"/>
      <c r="E26" s="7"/>
      <c r="F26" s="7"/>
      <c r="G26" s="7"/>
      <c r="H26" s="7"/>
    </row>
    <row r="27" spans="1:15" ht="15.75" x14ac:dyDescent="0.25">
      <c r="B27" s="9" t="s">
        <v>74</v>
      </c>
      <c r="C27" s="12">
        <v>105</v>
      </c>
      <c r="D27" s="13" t="s">
        <v>35</v>
      </c>
      <c r="E27" s="12">
        <f>E24</f>
        <v>193.98709999999997</v>
      </c>
      <c r="F27" s="13" t="s">
        <v>36</v>
      </c>
      <c r="G27" s="12">
        <f>C27+E27</f>
        <v>298.98709999999994</v>
      </c>
      <c r="H27" s="14" t="s">
        <v>34</v>
      </c>
    </row>
    <row r="28" spans="1:15" ht="17.25" customHeight="1" x14ac:dyDescent="0.2"/>
    <row r="29" spans="1:15" ht="17.25" customHeight="1" x14ac:dyDescent="0.2"/>
    <row r="30" spans="1:15" ht="15.75" x14ac:dyDescent="0.25">
      <c r="A30" s="7" t="s">
        <v>39</v>
      </c>
      <c r="C30" s="7"/>
      <c r="D30" s="7"/>
      <c r="E30" s="7"/>
      <c r="F30" s="31"/>
      <c r="G30" s="31"/>
      <c r="H30" s="31"/>
      <c r="I30" t="s">
        <v>82</v>
      </c>
      <c r="K30" s="28"/>
    </row>
    <row r="31" spans="1:15" ht="15.75" x14ac:dyDescent="0.25">
      <c r="B31" s="7"/>
      <c r="C31" s="7"/>
      <c r="D31" s="7"/>
      <c r="E31" s="7"/>
      <c r="F31" s="7"/>
      <c r="G31" s="7"/>
      <c r="H31" s="7"/>
    </row>
    <row r="32" spans="1:15" ht="15.75" x14ac:dyDescent="0.25">
      <c r="A32" s="7" t="s">
        <v>40</v>
      </c>
      <c r="B32" s="7"/>
      <c r="C32" s="7"/>
      <c r="D32" s="7"/>
      <c r="E32" s="7"/>
      <c r="F32" s="7"/>
      <c r="G32" s="7"/>
      <c r="H32" s="7"/>
    </row>
    <row r="33" spans="1:8" ht="15.75" x14ac:dyDescent="0.25">
      <c r="A33" s="36" t="s">
        <v>58</v>
      </c>
      <c r="C33" s="7"/>
      <c r="D33" s="7"/>
      <c r="E33" s="7"/>
      <c r="F33" s="7"/>
      <c r="G33" s="7"/>
      <c r="H33" s="7"/>
    </row>
    <row r="34" spans="1:8" ht="15.75" x14ac:dyDescent="0.25">
      <c r="A34" s="36" t="s">
        <v>59</v>
      </c>
      <c r="C34" s="7"/>
      <c r="D34" s="7"/>
      <c r="E34" s="7"/>
      <c r="F34" s="7"/>
      <c r="G34" s="7"/>
      <c r="H34" s="7"/>
    </row>
  </sheetData>
  <mergeCells count="16">
    <mergeCell ref="A13:A16"/>
    <mergeCell ref="B13:B16"/>
    <mergeCell ref="C13:C16"/>
    <mergeCell ref="J13:J16"/>
    <mergeCell ref="D13:D16"/>
    <mergeCell ref="E13:E16"/>
    <mergeCell ref="F13:F16"/>
    <mergeCell ref="G13:G16"/>
    <mergeCell ref="K13:K16"/>
    <mergeCell ref="H13:H16"/>
    <mergeCell ref="I13:I16"/>
    <mergeCell ref="B23:C23"/>
    <mergeCell ref="B24:C24"/>
    <mergeCell ref="B25:C25"/>
    <mergeCell ref="F30:H30"/>
    <mergeCell ref="B11:J11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B11" sqref="B11:K11"/>
    </sheetView>
  </sheetViews>
  <sheetFormatPr defaultRowHeight="15.75" x14ac:dyDescent="0.25"/>
  <cols>
    <col min="1" max="1" width="3.85546875" style="7" customWidth="1"/>
    <col min="2" max="2" width="35.140625" style="7" customWidth="1"/>
    <col min="3" max="3" width="9.140625" style="7"/>
    <col min="4" max="4" width="11.28515625" style="7" customWidth="1"/>
    <col min="5" max="5" width="9.28515625" style="7" customWidth="1"/>
    <col min="6" max="6" width="12.42578125" style="7" customWidth="1"/>
    <col min="7" max="7" width="14.28515625" style="7" customWidth="1"/>
    <col min="8" max="8" width="11.5703125" style="7" customWidth="1"/>
    <col min="9" max="9" width="9.140625" style="7" customWidth="1"/>
    <col min="10" max="10" width="10.5703125" style="7" customWidth="1"/>
    <col min="11" max="12" width="12" style="7" customWidth="1"/>
    <col min="13" max="14" width="9.140625" style="7"/>
    <col min="15" max="15" width="12.42578125" style="7" customWidth="1"/>
    <col min="16" max="16384" width="9.140625" style="7"/>
  </cols>
  <sheetData>
    <row r="1" spans="1:12" x14ac:dyDescent="0.25">
      <c r="I1" s="7" t="s">
        <v>66</v>
      </c>
    </row>
    <row r="2" spans="1:12" x14ac:dyDescent="0.25">
      <c r="I2" s="7" t="s">
        <v>60</v>
      </c>
    </row>
    <row r="4" spans="1:12" x14ac:dyDescent="0.25">
      <c r="I4" s="7" t="s">
        <v>49</v>
      </c>
    </row>
    <row r="5" spans="1:12" x14ac:dyDescent="0.25">
      <c r="I5" s="7" t="s">
        <v>61</v>
      </c>
    </row>
    <row r="6" spans="1:12" x14ac:dyDescent="0.25">
      <c r="I6" s="7" t="s">
        <v>62</v>
      </c>
    </row>
    <row r="7" spans="1:12" x14ac:dyDescent="0.25">
      <c r="I7" s="7" t="s">
        <v>63</v>
      </c>
    </row>
    <row r="8" spans="1:12" x14ac:dyDescent="0.25">
      <c r="I8" s="7" t="s">
        <v>57</v>
      </c>
    </row>
    <row r="10" spans="1:12" x14ac:dyDescent="0.25">
      <c r="D10" s="22" t="s">
        <v>48</v>
      </c>
      <c r="I10" s="17"/>
    </row>
    <row r="11" spans="1:12" x14ac:dyDescent="0.25">
      <c r="B11" s="34" t="s">
        <v>85</v>
      </c>
      <c r="C11" s="35"/>
      <c r="D11" s="35"/>
      <c r="E11" s="35"/>
      <c r="F11" s="35"/>
      <c r="G11" s="35"/>
      <c r="H11" s="35"/>
      <c r="I11" s="35"/>
      <c r="J11" s="35"/>
      <c r="K11" s="35"/>
      <c r="L11" s="30"/>
    </row>
    <row r="12" spans="1:12" ht="16.5" thickBot="1" x14ac:dyDescent="0.3">
      <c r="D12" s="7" t="s">
        <v>69</v>
      </c>
    </row>
    <row r="13" spans="1:12" ht="12.75" customHeight="1" x14ac:dyDescent="0.25">
      <c r="A13" s="42" t="s">
        <v>37</v>
      </c>
      <c r="B13" s="43" t="s">
        <v>38</v>
      </c>
      <c r="C13" s="43" t="s">
        <v>50</v>
      </c>
      <c r="D13" s="43" t="s">
        <v>51</v>
      </c>
      <c r="E13" s="43" t="s">
        <v>52</v>
      </c>
      <c r="F13" s="43" t="s">
        <v>87</v>
      </c>
      <c r="G13" s="44" t="s">
        <v>56</v>
      </c>
      <c r="H13" s="43" t="s">
        <v>78</v>
      </c>
      <c r="I13" s="43" t="s">
        <v>79</v>
      </c>
      <c r="J13" s="43" t="s">
        <v>53</v>
      </c>
      <c r="K13" s="78" t="s">
        <v>80</v>
      </c>
      <c r="L13" s="82"/>
    </row>
    <row r="14" spans="1:12" ht="12.75" customHeight="1" x14ac:dyDescent="0.25">
      <c r="A14" s="45"/>
      <c r="B14" s="46"/>
      <c r="C14" s="46"/>
      <c r="D14" s="46"/>
      <c r="E14" s="46"/>
      <c r="F14" s="46"/>
      <c r="G14" s="47"/>
      <c r="H14" s="46"/>
      <c r="I14" s="46"/>
      <c r="J14" s="46"/>
      <c r="K14" s="79"/>
      <c r="L14" s="82"/>
    </row>
    <row r="15" spans="1:12" ht="12.75" customHeight="1" x14ac:dyDescent="0.25">
      <c r="A15" s="45"/>
      <c r="B15" s="46"/>
      <c r="C15" s="46"/>
      <c r="D15" s="46"/>
      <c r="E15" s="46"/>
      <c r="F15" s="46"/>
      <c r="G15" s="47"/>
      <c r="H15" s="46"/>
      <c r="I15" s="46"/>
      <c r="J15" s="46"/>
      <c r="K15" s="79"/>
      <c r="L15" s="82"/>
    </row>
    <row r="16" spans="1:12" ht="69" customHeight="1" thickBot="1" x14ac:dyDescent="0.3">
      <c r="A16" s="48"/>
      <c r="B16" s="49"/>
      <c r="C16" s="49"/>
      <c r="D16" s="49"/>
      <c r="E16" s="49"/>
      <c r="F16" s="49"/>
      <c r="G16" s="50"/>
      <c r="H16" s="52"/>
      <c r="I16" s="52"/>
      <c r="J16" s="49"/>
      <c r="K16" s="81"/>
      <c r="L16" s="82"/>
    </row>
    <row r="17" spans="1:15" x14ac:dyDescent="0.25">
      <c r="A17" s="80">
        <v>1</v>
      </c>
      <c r="B17" s="38" t="s">
        <v>0</v>
      </c>
      <c r="C17" s="39">
        <f>86/60</f>
        <v>1.4333333333333333</v>
      </c>
      <c r="D17" s="40">
        <v>240.24</v>
      </c>
      <c r="E17" s="40">
        <f>D17*C17</f>
        <v>344.34399999999999</v>
      </c>
      <c r="F17" s="40">
        <f>E17*1.13</f>
        <v>389.10871999999995</v>
      </c>
      <c r="G17" s="40">
        <f>2.5*1.023*1.074</f>
        <v>2.7467549999999998</v>
      </c>
      <c r="H17" s="40">
        <f>F17*(4.0627-0.4)</f>
        <v>1425.188508744</v>
      </c>
      <c r="I17" s="40">
        <f>F17*0.05</f>
        <v>19.455435999999999</v>
      </c>
      <c r="J17" s="40">
        <f>F17+G17+H17+I17</f>
        <v>1836.4994197439999</v>
      </c>
      <c r="K17" s="53">
        <f>J17*1.18</f>
        <v>2167.0693152979197</v>
      </c>
      <c r="L17" s="27"/>
      <c r="N17" s="10"/>
      <c r="O17" s="10"/>
    </row>
    <row r="18" spans="1:15" x14ac:dyDescent="0.25">
      <c r="A18" s="23">
        <f>A17+1</f>
        <v>2</v>
      </c>
      <c r="B18" s="18" t="s">
        <v>1</v>
      </c>
      <c r="C18" s="5">
        <f>49/60</f>
        <v>0.81666666666666665</v>
      </c>
      <c r="D18" s="2">
        <v>240.24</v>
      </c>
      <c r="E18" s="2">
        <f t="shared" ref="E18:E40" si="0">D18*C18</f>
        <v>196.196</v>
      </c>
      <c r="F18" s="2">
        <f t="shared" ref="F18:F40" si="1">E18*1.13</f>
        <v>221.70147999999998</v>
      </c>
      <c r="G18" s="2">
        <f>10.9*1.02*1.0743</f>
        <v>11.944067400000002</v>
      </c>
      <c r="H18" s="2">
        <f t="shared" ref="H18:H40" si="2">F18*(4.0627-0.4)</f>
        <v>812.02601079600004</v>
      </c>
      <c r="I18" s="2">
        <f t="shared" ref="I18:I40" si="3">F18*0.05</f>
        <v>11.085073999999999</v>
      </c>
      <c r="J18" s="2">
        <f t="shared" ref="J18:J40" si="4">F18+G18+H18+I18</f>
        <v>1056.7566321960001</v>
      </c>
      <c r="K18" s="54">
        <f t="shared" ref="K18:K40" si="5">J18*1.18</f>
        <v>1246.9728259912799</v>
      </c>
      <c r="L18" s="27"/>
      <c r="N18" s="10"/>
      <c r="O18" s="10"/>
    </row>
    <row r="19" spans="1:15" x14ac:dyDescent="0.25">
      <c r="A19" s="23">
        <f t="shared" ref="A19:A40" si="6">A18+1</f>
        <v>3</v>
      </c>
      <c r="B19" s="18" t="s">
        <v>2</v>
      </c>
      <c r="C19" s="5">
        <f>54/60</f>
        <v>0.9</v>
      </c>
      <c r="D19" s="2">
        <v>240.24</v>
      </c>
      <c r="E19" s="2">
        <f t="shared" si="0"/>
        <v>216.21600000000001</v>
      </c>
      <c r="F19" s="2">
        <f t="shared" si="1"/>
        <v>244.32407999999998</v>
      </c>
      <c r="G19" s="2">
        <f>1.9*1.023*1.074</f>
        <v>2.0875337999999997</v>
      </c>
      <c r="H19" s="2">
        <f t="shared" si="2"/>
        <v>894.88580781600001</v>
      </c>
      <c r="I19" s="2">
        <f t="shared" si="3"/>
        <v>12.216203999999999</v>
      </c>
      <c r="J19" s="2">
        <f t="shared" si="4"/>
        <v>1153.5136256160001</v>
      </c>
      <c r="K19" s="54">
        <f t="shared" si="5"/>
        <v>1361.14607822688</v>
      </c>
      <c r="L19" s="27"/>
      <c r="N19" s="10"/>
      <c r="O19" s="10"/>
    </row>
    <row r="20" spans="1:15" x14ac:dyDescent="0.25">
      <c r="A20" s="23">
        <f t="shared" si="6"/>
        <v>4</v>
      </c>
      <c r="B20" s="18" t="s">
        <v>3</v>
      </c>
      <c r="C20" s="5">
        <f>42/60</f>
        <v>0.7</v>
      </c>
      <c r="D20" s="2">
        <v>240.24</v>
      </c>
      <c r="E20" s="2">
        <f t="shared" si="0"/>
        <v>168.16800000000001</v>
      </c>
      <c r="F20" s="2">
        <f t="shared" si="1"/>
        <v>190.02983999999998</v>
      </c>
      <c r="G20" s="2">
        <f>(32+3.2+0.4+5.8+9)*1.023*1.074</f>
        <v>55.374580799999997</v>
      </c>
      <c r="H20" s="2">
        <f t="shared" si="2"/>
        <v>696.02229496799998</v>
      </c>
      <c r="I20" s="2">
        <f t="shared" si="3"/>
        <v>9.5014919999999989</v>
      </c>
      <c r="J20" s="2">
        <f t="shared" si="4"/>
        <v>950.92820776799988</v>
      </c>
      <c r="K20" s="54">
        <f t="shared" si="5"/>
        <v>1122.0952851662398</v>
      </c>
      <c r="L20" s="27"/>
      <c r="N20" s="10"/>
      <c r="O20" s="10"/>
    </row>
    <row r="21" spans="1:15" x14ac:dyDescent="0.25">
      <c r="A21" s="23">
        <f t="shared" si="6"/>
        <v>5</v>
      </c>
      <c r="B21" s="18" t="s">
        <v>4</v>
      </c>
      <c r="C21" s="5">
        <f>37/60</f>
        <v>0.6166666666666667</v>
      </c>
      <c r="D21" s="2">
        <v>240.24</v>
      </c>
      <c r="E21" s="2">
        <f t="shared" si="0"/>
        <v>148.14800000000002</v>
      </c>
      <c r="F21" s="2">
        <f t="shared" si="1"/>
        <v>167.40724</v>
      </c>
      <c r="G21" s="2">
        <f>45.5*1.023*1.074</f>
        <v>49.990940999999999</v>
      </c>
      <c r="H21" s="2">
        <f t="shared" si="2"/>
        <v>613.16249794800012</v>
      </c>
      <c r="I21" s="2">
        <f t="shared" si="3"/>
        <v>8.3703620000000001</v>
      </c>
      <c r="J21" s="2">
        <f t="shared" si="4"/>
        <v>838.93104094800015</v>
      </c>
      <c r="K21" s="54">
        <f t="shared" si="5"/>
        <v>989.9386283186401</v>
      </c>
      <c r="L21" s="27"/>
      <c r="N21" s="10"/>
      <c r="O21" s="10"/>
    </row>
    <row r="22" spans="1:15" x14ac:dyDescent="0.25">
      <c r="A22" s="23">
        <f t="shared" si="6"/>
        <v>6</v>
      </c>
      <c r="B22" s="18" t="s">
        <v>5</v>
      </c>
      <c r="C22" s="5">
        <f>80/60</f>
        <v>1.3333333333333333</v>
      </c>
      <c r="D22" s="2">
        <v>240.24</v>
      </c>
      <c r="E22" s="2">
        <f t="shared" si="0"/>
        <v>320.32</v>
      </c>
      <c r="F22" s="2">
        <f t="shared" si="1"/>
        <v>361.96159999999998</v>
      </c>
      <c r="G22" s="2">
        <f>13.2*1.023*1.074</f>
        <v>14.5028664</v>
      </c>
      <c r="H22" s="2">
        <f t="shared" si="2"/>
        <v>1325.75675232</v>
      </c>
      <c r="I22" s="2">
        <f t="shared" si="3"/>
        <v>18.09808</v>
      </c>
      <c r="J22" s="2">
        <f t="shared" si="4"/>
        <v>1720.31929872</v>
      </c>
      <c r="K22" s="54">
        <f t="shared" si="5"/>
        <v>2029.9767724895999</v>
      </c>
      <c r="L22" s="27"/>
      <c r="N22" s="10"/>
      <c r="O22" s="10"/>
    </row>
    <row r="23" spans="1:15" x14ac:dyDescent="0.25">
      <c r="A23" s="23">
        <f t="shared" si="6"/>
        <v>7</v>
      </c>
      <c r="B23" s="1" t="s">
        <v>6</v>
      </c>
      <c r="C23" s="5">
        <f>24/60</f>
        <v>0.4</v>
      </c>
      <c r="D23" s="2">
        <v>240.24</v>
      </c>
      <c r="E23" s="2">
        <f t="shared" si="0"/>
        <v>96.096000000000004</v>
      </c>
      <c r="F23" s="2">
        <f t="shared" si="1"/>
        <v>108.58847999999999</v>
      </c>
      <c r="G23" s="2">
        <f>6.3*1.023*1.074</f>
        <v>6.9218225999999996</v>
      </c>
      <c r="H23" s="2">
        <f t="shared" si="2"/>
        <v>397.727025696</v>
      </c>
      <c r="I23" s="2">
        <f t="shared" si="3"/>
        <v>5.429424</v>
      </c>
      <c r="J23" s="2">
        <f t="shared" si="4"/>
        <v>518.66675229600003</v>
      </c>
      <c r="K23" s="54">
        <f t="shared" si="5"/>
        <v>612.02676770927997</v>
      </c>
      <c r="L23" s="27"/>
      <c r="N23" s="10"/>
      <c r="O23" s="10"/>
    </row>
    <row r="24" spans="1:15" x14ac:dyDescent="0.25">
      <c r="A24" s="23">
        <f t="shared" si="6"/>
        <v>8</v>
      </c>
      <c r="B24" s="18" t="s">
        <v>7</v>
      </c>
      <c r="C24" s="5">
        <f>24/60</f>
        <v>0.4</v>
      </c>
      <c r="D24" s="2">
        <v>240.24</v>
      </c>
      <c r="E24" s="2">
        <f t="shared" si="0"/>
        <v>96.096000000000004</v>
      </c>
      <c r="F24" s="2">
        <f t="shared" si="1"/>
        <v>108.58847999999999</v>
      </c>
      <c r="G24" s="2">
        <f>(0.9+36.4+4+3.6+25)*1.023*1.074</f>
        <v>76.799269800000005</v>
      </c>
      <c r="H24" s="2">
        <f t="shared" si="2"/>
        <v>397.727025696</v>
      </c>
      <c r="I24" s="2">
        <f t="shared" si="3"/>
        <v>5.429424</v>
      </c>
      <c r="J24" s="2">
        <f t="shared" si="4"/>
        <v>588.54419949600003</v>
      </c>
      <c r="K24" s="54">
        <f t="shared" si="5"/>
        <v>694.48215540527997</v>
      </c>
      <c r="L24" s="27"/>
      <c r="N24" s="10"/>
      <c r="O24" s="10"/>
    </row>
    <row r="25" spans="1:15" x14ac:dyDescent="0.25">
      <c r="A25" s="23">
        <f t="shared" si="6"/>
        <v>9</v>
      </c>
      <c r="B25" s="18" t="s">
        <v>8</v>
      </c>
      <c r="C25" s="5">
        <f>108/60</f>
        <v>1.8</v>
      </c>
      <c r="D25" s="2">
        <v>240.24</v>
      </c>
      <c r="E25" s="2">
        <f t="shared" si="0"/>
        <v>432.43200000000002</v>
      </c>
      <c r="F25" s="2">
        <f t="shared" si="1"/>
        <v>488.64815999999996</v>
      </c>
      <c r="G25" s="2">
        <f>55.53*1.023*1.074</f>
        <v>61.010922059999999</v>
      </c>
      <c r="H25" s="2">
        <f t="shared" si="2"/>
        <v>1789.771615632</v>
      </c>
      <c r="I25" s="2">
        <f t="shared" si="3"/>
        <v>24.432407999999999</v>
      </c>
      <c r="J25" s="2">
        <f t="shared" si="4"/>
        <v>2363.8631056919999</v>
      </c>
      <c r="K25" s="54">
        <f t="shared" si="5"/>
        <v>2789.3584647165599</v>
      </c>
      <c r="L25" s="27"/>
      <c r="N25" s="10"/>
      <c r="O25" s="10"/>
    </row>
    <row r="26" spans="1:15" x14ac:dyDescent="0.25">
      <c r="A26" s="23">
        <f t="shared" si="6"/>
        <v>10</v>
      </c>
      <c r="B26" s="18" t="s">
        <v>9</v>
      </c>
      <c r="C26" s="5">
        <f>118/60</f>
        <v>1.9666666666666666</v>
      </c>
      <c r="D26" s="2">
        <v>240.24</v>
      </c>
      <c r="E26" s="2">
        <f t="shared" si="0"/>
        <v>472.47199999999998</v>
      </c>
      <c r="F26" s="2">
        <f t="shared" si="1"/>
        <v>533.89335999999992</v>
      </c>
      <c r="G26" s="2">
        <f>29.7*1.023*1.074</f>
        <v>32.631449399999994</v>
      </c>
      <c r="H26" s="2">
        <f t="shared" si="2"/>
        <v>1955.491209672</v>
      </c>
      <c r="I26" s="2">
        <f t="shared" si="3"/>
        <v>26.694667999999997</v>
      </c>
      <c r="J26" s="2">
        <f t="shared" si="4"/>
        <v>2548.7106870719999</v>
      </c>
      <c r="K26" s="54">
        <f t="shared" si="5"/>
        <v>3007.47861074496</v>
      </c>
      <c r="L26" s="27"/>
      <c r="N26" s="10"/>
      <c r="O26" s="10"/>
    </row>
    <row r="27" spans="1:15" x14ac:dyDescent="0.25">
      <c r="A27" s="23">
        <f t="shared" si="6"/>
        <v>11</v>
      </c>
      <c r="B27" s="18" t="s">
        <v>10</v>
      </c>
      <c r="C27" s="5">
        <f>96/60</f>
        <v>1.6</v>
      </c>
      <c r="D27" s="2">
        <v>240.24</v>
      </c>
      <c r="E27" s="2">
        <f t="shared" si="0"/>
        <v>384.38400000000001</v>
      </c>
      <c r="F27" s="2">
        <f t="shared" si="1"/>
        <v>434.35391999999996</v>
      </c>
      <c r="G27" s="2">
        <f>75.22*1.023*1.074</f>
        <v>82.644364440000004</v>
      </c>
      <c r="H27" s="2">
        <f t="shared" si="2"/>
        <v>1590.908102784</v>
      </c>
      <c r="I27" s="2">
        <f t="shared" si="3"/>
        <v>21.717696</v>
      </c>
      <c r="J27" s="2">
        <f t="shared" si="4"/>
        <v>2129.6240832240001</v>
      </c>
      <c r="K27" s="54">
        <f t="shared" si="5"/>
        <v>2512.95641820432</v>
      </c>
      <c r="L27" s="27"/>
      <c r="N27" s="10"/>
      <c r="O27" s="10"/>
    </row>
    <row r="28" spans="1:15" x14ac:dyDescent="0.25">
      <c r="A28" s="23">
        <f t="shared" si="6"/>
        <v>12</v>
      </c>
      <c r="B28" s="18" t="s">
        <v>11</v>
      </c>
      <c r="C28" s="5">
        <f>101/60</f>
        <v>1.6833333333333333</v>
      </c>
      <c r="D28" s="2">
        <v>240.24</v>
      </c>
      <c r="E28" s="2">
        <f t="shared" si="0"/>
        <v>404.404</v>
      </c>
      <c r="F28" s="2">
        <f t="shared" si="1"/>
        <v>456.97651999999994</v>
      </c>
      <c r="G28" s="2">
        <f>23.48*1*1.07423</f>
        <v>25.2229204</v>
      </c>
      <c r="H28" s="2">
        <f t="shared" si="2"/>
        <v>1673.7678998040001</v>
      </c>
      <c r="I28" s="2">
        <f t="shared" si="3"/>
        <v>22.848825999999999</v>
      </c>
      <c r="J28" s="2">
        <f t="shared" si="4"/>
        <v>2178.8161662039997</v>
      </c>
      <c r="K28" s="54">
        <f t="shared" si="5"/>
        <v>2571.0030761207195</v>
      </c>
      <c r="L28" s="27"/>
      <c r="N28" s="10"/>
      <c r="O28" s="10"/>
    </row>
    <row r="29" spans="1:15" x14ac:dyDescent="0.25">
      <c r="A29" s="23">
        <f t="shared" si="6"/>
        <v>13</v>
      </c>
      <c r="B29" s="18" t="s">
        <v>12</v>
      </c>
      <c r="C29" s="5">
        <f>103/60</f>
        <v>1.7166666666666666</v>
      </c>
      <c r="D29" s="2">
        <v>240.24</v>
      </c>
      <c r="E29" s="2">
        <f t="shared" si="0"/>
        <v>412.41199999999998</v>
      </c>
      <c r="F29" s="2">
        <f t="shared" si="1"/>
        <v>466.02555999999993</v>
      </c>
      <c r="G29" s="2">
        <f>58.1*1.023*1.074</f>
        <v>63.834586199999997</v>
      </c>
      <c r="H29" s="2">
        <f t="shared" si="2"/>
        <v>1706.9118186119999</v>
      </c>
      <c r="I29" s="2">
        <f t="shared" si="3"/>
        <v>23.301277999999996</v>
      </c>
      <c r="J29" s="2">
        <f t="shared" si="4"/>
        <v>2260.073242812</v>
      </c>
      <c r="K29" s="54">
        <f t="shared" si="5"/>
        <v>2666.8864265181596</v>
      </c>
      <c r="L29" s="27"/>
      <c r="N29" s="10"/>
      <c r="O29" s="10"/>
    </row>
    <row r="30" spans="1:15" x14ac:dyDescent="0.25">
      <c r="A30" s="23">
        <f t="shared" si="6"/>
        <v>14</v>
      </c>
      <c r="B30" s="18" t="s">
        <v>13</v>
      </c>
      <c r="C30" s="5">
        <f>39/60</f>
        <v>0.65</v>
      </c>
      <c r="D30" s="2">
        <v>240.24</v>
      </c>
      <c r="E30" s="2">
        <f t="shared" si="0"/>
        <v>156.15600000000001</v>
      </c>
      <c r="F30" s="2">
        <f t="shared" si="1"/>
        <v>176.45627999999999</v>
      </c>
      <c r="G30" s="2"/>
      <c r="H30" s="2">
        <f t="shared" si="2"/>
        <v>646.30641675600009</v>
      </c>
      <c r="I30" s="2">
        <f t="shared" si="3"/>
        <v>8.8228139999999993</v>
      </c>
      <c r="J30" s="2">
        <f t="shared" si="4"/>
        <v>831.58551075600008</v>
      </c>
      <c r="K30" s="54">
        <f t="shared" si="5"/>
        <v>981.27090269208009</v>
      </c>
      <c r="L30" s="27"/>
      <c r="N30" s="10"/>
      <c r="O30" s="10"/>
    </row>
    <row r="31" spans="1:15" x14ac:dyDescent="0.25">
      <c r="A31" s="23">
        <f t="shared" si="6"/>
        <v>15</v>
      </c>
      <c r="B31" s="18" t="s">
        <v>14</v>
      </c>
      <c r="C31" s="5">
        <f>117/60</f>
        <v>1.95</v>
      </c>
      <c r="D31" s="2">
        <v>240.24</v>
      </c>
      <c r="E31" s="2">
        <f t="shared" si="0"/>
        <v>468.46800000000002</v>
      </c>
      <c r="F31" s="2">
        <f t="shared" si="1"/>
        <v>529.36883999999998</v>
      </c>
      <c r="G31" s="2">
        <f>10*1.023*1.074</f>
        <v>10.987019999999999</v>
      </c>
      <c r="H31" s="2">
        <f t="shared" si="2"/>
        <v>1938.9192502680003</v>
      </c>
      <c r="I31" s="2">
        <f t="shared" si="3"/>
        <v>26.468442</v>
      </c>
      <c r="J31" s="2">
        <f t="shared" si="4"/>
        <v>2505.7435522680003</v>
      </c>
      <c r="K31" s="54">
        <f t="shared" si="5"/>
        <v>2956.7773916762403</v>
      </c>
      <c r="L31" s="27"/>
      <c r="N31" s="10"/>
      <c r="O31" s="10"/>
    </row>
    <row r="32" spans="1:15" x14ac:dyDescent="0.25">
      <c r="A32" s="23">
        <f t="shared" si="6"/>
        <v>16</v>
      </c>
      <c r="B32" s="18" t="s">
        <v>15</v>
      </c>
      <c r="C32" s="5">
        <f>84/60</f>
        <v>1.4</v>
      </c>
      <c r="D32" s="2">
        <v>240.24</v>
      </c>
      <c r="E32" s="2">
        <f t="shared" si="0"/>
        <v>336.33600000000001</v>
      </c>
      <c r="F32" s="2">
        <f t="shared" si="1"/>
        <v>380.05967999999996</v>
      </c>
      <c r="G32" s="2">
        <f>19.3*1.023*1.074</f>
        <v>21.204948600000002</v>
      </c>
      <c r="H32" s="2">
        <f t="shared" si="2"/>
        <v>1392.044589936</v>
      </c>
      <c r="I32" s="2">
        <f t="shared" si="3"/>
        <v>19.002983999999998</v>
      </c>
      <c r="J32" s="2">
        <f t="shared" si="4"/>
        <v>1812.3122025359999</v>
      </c>
      <c r="K32" s="54">
        <f t="shared" si="5"/>
        <v>2138.5283989924797</v>
      </c>
      <c r="L32" s="27"/>
      <c r="N32" s="10"/>
      <c r="O32" s="10"/>
    </row>
    <row r="33" spans="1:15" x14ac:dyDescent="0.25">
      <c r="A33" s="23">
        <f t="shared" si="6"/>
        <v>17</v>
      </c>
      <c r="B33" s="18" t="s">
        <v>16</v>
      </c>
      <c r="C33" s="5">
        <f>91/60</f>
        <v>1.5166666666666666</v>
      </c>
      <c r="D33" s="2">
        <v>240.24</v>
      </c>
      <c r="E33" s="2">
        <f t="shared" si="0"/>
        <v>364.36399999999998</v>
      </c>
      <c r="F33" s="2">
        <f t="shared" si="1"/>
        <v>411.73131999999993</v>
      </c>
      <c r="G33" s="2">
        <f>12*1.023*1.074</f>
        <v>13.184424</v>
      </c>
      <c r="H33" s="2">
        <f t="shared" si="2"/>
        <v>1508.0483057639999</v>
      </c>
      <c r="I33" s="2">
        <f t="shared" si="3"/>
        <v>20.586565999999998</v>
      </c>
      <c r="J33" s="2">
        <f t="shared" si="4"/>
        <v>1953.5506157639998</v>
      </c>
      <c r="K33" s="54">
        <f t="shared" si="5"/>
        <v>2305.1897266015194</v>
      </c>
      <c r="L33" s="27"/>
      <c r="N33" s="10"/>
      <c r="O33" s="10"/>
    </row>
    <row r="34" spans="1:15" x14ac:dyDescent="0.25">
      <c r="A34" s="23">
        <f t="shared" si="6"/>
        <v>18</v>
      </c>
      <c r="B34" s="18" t="s">
        <v>17</v>
      </c>
      <c r="C34" s="5">
        <f>15/60</f>
        <v>0.25</v>
      </c>
      <c r="D34" s="2">
        <v>240.24</v>
      </c>
      <c r="E34" s="2">
        <f t="shared" si="0"/>
        <v>60.06</v>
      </c>
      <c r="F34" s="2">
        <f t="shared" si="1"/>
        <v>67.867800000000003</v>
      </c>
      <c r="G34" s="2">
        <f>125.6*1.023*1.074</f>
        <v>137.99697119999996</v>
      </c>
      <c r="H34" s="2">
        <f t="shared" si="2"/>
        <v>248.57939106000003</v>
      </c>
      <c r="I34" s="2">
        <f t="shared" si="3"/>
        <v>3.3933900000000001</v>
      </c>
      <c r="J34" s="2">
        <f t="shared" si="4"/>
        <v>457.83755226</v>
      </c>
      <c r="K34" s="54">
        <f t="shared" si="5"/>
        <v>540.24831166679996</v>
      </c>
      <c r="L34" s="27"/>
      <c r="N34" s="10"/>
      <c r="O34" s="10"/>
    </row>
    <row r="35" spans="1:15" x14ac:dyDescent="0.25">
      <c r="A35" s="23">
        <f t="shared" si="6"/>
        <v>19</v>
      </c>
      <c r="B35" s="18" t="s">
        <v>18</v>
      </c>
      <c r="C35" s="5">
        <f>25/60</f>
        <v>0.41666666666666669</v>
      </c>
      <c r="D35" s="2">
        <v>240.24</v>
      </c>
      <c r="E35" s="2">
        <f t="shared" si="0"/>
        <v>100.10000000000001</v>
      </c>
      <c r="F35" s="2">
        <f t="shared" si="1"/>
        <v>113.113</v>
      </c>
      <c r="G35" s="2">
        <f>2.5*1.023*1.074</f>
        <v>2.7467549999999998</v>
      </c>
      <c r="H35" s="2">
        <f t="shared" si="2"/>
        <v>414.29898510000004</v>
      </c>
      <c r="I35" s="2">
        <f t="shared" si="3"/>
        <v>5.6556500000000005</v>
      </c>
      <c r="J35" s="2">
        <f t="shared" si="4"/>
        <v>535.81439010000008</v>
      </c>
      <c r="K35" s="54">
        <f t="shared" si="5"/>
        <v>632.26098031800007</v>
      </c>
      <c r="L35" s="27"/>
      <c r="N35" s="10"/>
      <c r="O35" s="10"/>
    </row>
    <row r="36" spans="1:15" x14ac:dyDescent="0.25">
      <c r="A36" s="23">
        <f t="shared" si="6"/>
        <v>20</v>
      </c>
      <c r="B36" s="18" t="s">
        <v>19</v>
      </c>
      <c r="C36" s="5">
        <f>15/60</f>
        <v>0.25</v>
      </c>
      <c r="D36" s="2">
        <v>240.24</v>
      </c>
      <c r="E36" s="2">
        <f t="shared" si="0"/>
        <v>60.06</v>
      </c>
      <c r="F36" s="2">
        <f t="shared" si="1"/>
        <v>67.867800000000003</v>
      </c>
      <c r="G36" s="2">
        <f>4.3*1*1.07423</f>
        <v>4.6191889999999995</v>
      </c>
      <c r="H36" s="2">
        <f t="shared" si="2"/>
        <v>248.57939106000003</v>
      </c>
      <c r="I36" s="2">
        <f t="shared" si="3"/>
        <v>3.3933900000000001</v>
      </c>
      <c r="J36" s="2">
        <f t="shared" si="4"/>
        <v>324.45977006000004</v>
      </c>
      <c r="K36" s="54">
        <f t="shared" si="5"/>
        <v>382.86252867080003</v>
      </c>
      <c r="L36" s="27"/>
      <c r="N36" s="10"/>
      <c r="O36" s="10"/>
    </row>
    <row r="37" spans="1:15" x14ac:dyDescent="0.25">
      <c r="A37" s="23">
        <f t="shared" si="6"/>
        <v>21</v>
      </c>
      <c r="B37" s="18" t="s">
        <v>20</v>
      </c>
      <c r="C37" s="5">
        <f>3/60</f>
        <v>0.05</v>
      </c>
      <c r="D37" s="2">
        <v>240.24</v>
      </c>
      <c r="E37" s="2">
        <f t="shared" si="0"/>
        <v>12.012</v>
      </c>
      <c r="F37" s="2">
        <f t="shared" si="1"/>
        <v>13.573559999999999</v>
      </c>
      <c r="G37" s="2"/>
      <c r="H37" s="2">
        <f t="shared" si="2"/>
        <v>49.715878212</v>
      </c>
      <c r="I37" s="2">
        <f t="shared" si="3"/>
        <v>0.678678</v>
      </c>
      <c r="J37" s="2">
        <f t="shared" si="4"/>
        <v>63.968116211999998</v>
      </c>
      <c r="K37" s="54">
        <f t="shared" si="5"/>
        <v>75.482377130159989</v>
      </c>
      <c r="L37" s="27"/>
      <c r="N37" s="10"/>
      <c r="O37" s="10"/>
    </row>
    <row r="38" spans="1:15" x14ac:dyDescent="0.25">
      <c r="A38" s="23">
        <f t="shared" si="6"/>
        <v>22</v>
      </c>
      <c r="B38" s="18" t="s">
        <v>21</v>
      </c>
      <c r="C38" s="5">
        <f>8/60</f>
        <v>0.13333333333333333</v>
      </c>
      <c r="D38" s="2">
        <v>240.24</v>
      </c>
      <c r="E38" s="2">
        <f t="shared" si="0"/>
        <v>32.032000000000004</v>
      </c>
      <c r="F38" s="2">
        <f t="shared" si="1"/>
        <v>36.196159999999999</v>
      </c>
      <c r="G38" s="2"/>
      <c r="H38" s="2">
        <f t="shared" si="2"/>
        <v>132.57567523200001</v>
      </c>
      <c r="I38" s="2">
        <f t="shared" si="3"/>
        <v>1.8098080000000001</v>
      </c>
      <c r="J38" s="2">
        <f t="shared" si="4"/>
        <v>170.581643232</v>
      </c>
      <c r="K38" s="54">
        <f t="shared" si="5"/>
        <v>201.28633901376</v>
      </c>
      <c r="L38" s="27"/>
      <c r="N38" s="10"/>
      <c r="O38" s="10"/>
    </row>
    <row r="39" spans="1:15" x14ac:dyDescent="0.25">
      <c r="A39" s="23">
        <f t="shared" si="6"/>
        <v>23</v>
      </c>
      <c r="B39" s="18" t="s">
        <v>22</v>
      </c>
      <c r="C39" s="5">
        <f>19/60</f>
        <v>0.31666666666666665</v>
      </c>
      <c r="D39" s="2">
        <v>240.24</v>
      </c>
      <c r="E39" s="2">
        <f t="shared" si="0"/>
        <v>76.075999999999993</v>
      </c>
      <c r="F39" s="2">
        <f t="shared" si="1"/>
        <v>85.965879999999984</v>
      </c>
      <c r="G39" s="2"/>
      <c r="H39" s="2">
        <f t="shared" si="2"/>
        <v>314.86722867599997</v>
      </c>
      <c r="I39" s="2">
        <f t="shared" si="3"/>
        <v>4.2982939999999994</v>
      </c>
      <c r="J39" s="2">
        <f t="shared" si="4"/>
        <v>405.13140267599994</v>
      </c>
      <c r="K39" s="54">
        <f t="shared" si="5"/>
        <v>478.05505515767987</v>
      </c>
      <c r="L39" s="27"/>
      <c r="N39" s="10"/>
      <c r="O39" s="10"/>
    </row>
    <row r="40" spans="1:15" ht="16.5" thickBot="1" x14ac:dyDescent="0.3">
      <c r="A40" s="24">
        <f t="shared" si="6"/>
        <v>24</v>
      </c>
      <c r="B40" s="19" t="s">
        <v>23</v>
      </c>
      <c r="C40" s="6">
        <f>38/60</f>
        <v>0.6333333333333333</v>
      </c>
      <c r="D40" s="4">
        <v>240.24</v>
      </c>
      <c r="E40" s="4">
        <f t="shared" si="0"/>
        <v>152.15199999999999</v>
      </c>
      <c r="F40" s="4">
        <f t="shared" si="1"/>
        <v>171.93175999999997</v>
      </c>
      <c r="G40" s="4">
        <f>1.5*1.023*1.074</f>
        <v>1.648053</v>
      </c>
      <c r="H40" s="4">
        <f t="shared" si="2"/>
        <v>629.73445735199994</v>
      </c>
      <c r="I40" s="4">
        <f t="shared" si="3"/>
        <v>8.5965879999999988</v>
      </c>
      <c r="J40" s="4">
        <f t="shared" si="4"/>
        <v>811.91085835199988</v>
      </c>
      <c r="K40" s="55">
        <f t="shared" si="5"/>
        <v>958.05481285535984</v>
      </c>
      <c r="L40" s="27"/>
      <c r="N40" s="10"/>
      <c r="O40" s="10"/>
    </row>
    <row r="41" spans="1:15" x14ac:dyDescent="0.25">
      <c r="B41" s="8" t="s">
        <v>77</v>
      </c>
    </row>
    <row r="42" spans="1:15" x14ac:dyDescent="0.25">
      <c r="B42" s="32" t="s">
        <v>75</v>
      </c>
      <c r="C42" s="32"/>
      <c r="D42" s="12" t="s">
        <v>54</v>
      </c>
      <c r="E42" s="10">
        <f>БАК!E23</f>
        <v>271.47120000000001</v>
      </c>
      <c r="F42" s="7" t="s">
        <v>34</v>
      </c>
      <c r="K42" s="10"/>
      <c r="L42" s="10"/>
    </row>
    <row r="43" spans="1:15" x14ac:dyDescent="0.25">
      <c r="B43" s="33" t="s">
        <v>76</v>
      </c>
      <c r="C43" s="33"/>
      <c r="D43" s="12" t="s">
        <v>54</v>
      </c>
      <c r="E43" s="10">
        <f>БАК!E24</f>
        <v>193.98709999999997</v>
      </c>
      <c r="F43" s="7" t="s">
        <v>34</v>
      </c>
    </row>
    <row r="44" spans="1:15" x14ac:dyDescent="0.25">
      <c r="B44" s="33" t="s">
        <v>73</v>
      </c>
      <c r="C44" s="33"/>
      <c r="D44" s="28" t="s">
        <v>55</v>
      </c>
      <c r="E44" s="25">
        <f>БАК!E25</f>
        <v>622</v>
      </c>
      <c r="F44" s="7" t="s">
        <v>34</v>
      </c>
    </row>
    <row r="45" spans="1:15" x14ac:dyDescent="0.25">
      <c r="B45" s="11" t="s">
        <v>84</v>
      </c>
    </row>
    <row r="46" spans="1:15" x14ac:dyDescent="0.25">
      <c r="B46" s="29" t="s">
        <v>74</v>
      </c>
      <c r="C46" s="12">
        <v>105</v>
      </c>
      <c r="D46" s="28" t="s">
        <v>35</v>
      </c>
      <c r="E46" s="12">
        <f>E43</f>
        <v>193.98709999999997</v>
      </c>
      <c r="F46" s="28" t="s">
        <v>36</v>
      </c>
      <c r="G46" s="28"/>
      <c r="H46" s="12">
        <f>C46+E46</f>
        <v>298.98709999999994</v>
      </c>
      <c r="I46" s="14" t="s">
        <v>34</v>
      </c>
    </row>
    <row r="47" spans="1:15" ht="17.25" customHeight="1" x14ac:dyDescent="0.25"/>
    <row r="48" spans="1:15" ht="18" customHeight="1" x14ac:dyDescent="0.25"/>
    <row r="49" spans="1:12" x14ac:dyDescent="0.25">
      <c r="A49" s="7" t="s">
        <v>39</v>
      </c>
      <c r="F49" s="31"/>
      <c r="G49" s="31"/>
      <c r="H49" s="31"/>
      <c r="J49" s="7" t="s">
        <v>82</v>
      </c>
      <c r="K49" s="28"/>
      <c r="L49" s="28"/>
    </row>
    <row r="52" spans="1:12" x14ac:dyDescent="0.25">
      <c r="A52" s="7" t="s">
        <v>40</v>
      </c>
    </row>
    <row r="53" spans="1:12" x14ac:dyDescent="0.25">
      <c r="A53" s="36" t="s">
        <v>58</v>
      </c>
    </row>
    <row r="54" spans="1:12" x14ac:dyDescent="0.25">
      <c r="A54" s="36" t="s">
        <v>59</v>
      </c>
    </row>
  </sheetData>
  <mergeCells count="16">
    <mergeCell ref="B11:K11"/>
    <mergeCell ref="B42:C42"/>
    <mergeCell ref="B43:C43"/>
    <mergeCell ref="B44:C44"/>
    <mergeCell ref="A13:A16"/>
    <mergeCell ref="B13:B16"/>
    <mergeCell ref="C13:C16"/>
    <mergeCell ref="D13:D16"/>
    <mergeCell ref="E13:E16"/>
    <mergeCell ref="F13:F16"/>
    <mergeCell ref="H13:H16"/>
    <mergeCell ref="I13:I16"/>
    <mergeCell ref="J13:J16"/>
    <mergeCell ref="G13:G16"/>
    <mergeCell ref="K13:K16"/>
    <mergeCell ref="F49:H49"/>
  </mergeCells>
  <phoneticPr fontId="2" type="noConversion"/>
  <pageMargins left="0.78740157480314965" right="0.39370078740157483" top="0.39370078740157483" bottom="0.39370078740157483" header="0.51181102362204722" footer="0.31496062992125984"/>
  <pageSetup paperSize="9" scale="9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B12" sqref="B12:K12"/>
    </sheetView>
  </sheetViews>
  <sheetFormatPr defaultRowHeight="15.75" x14ac:dyDescent="0.25"/>
  <cols>
    <col min="1" max="1" width="4.140625" style="7" customWidth="1"/>
    <col min="2" max="2" width="35" style="7" customWidth="1"/>
    <col min="3" max="3" width="9.140625" style="7"/>
    <col min="4" max="4" width="11.7109375" style="7" customWidth="1"/>
    <col min="5" max="5" width="10" style="7" customWidth="1"/>
    <col min="6" max="6" width="13.140625" style="7" customWidth="1"/>
    <col min="7" max="7" width="14.5703125" style="7" customWidth="1"/>
    <col min="8" max="8" width="11.5703125" style="7" customWidth="1"/>
    <col min="9" max="9" width="10.5703125" style="7" customWidth="1"/>
    <col min="10" max="10" width="10.85546875" style="7" customWidth="1"/>
    <col min="11" max="11" width="12.28515625" style="7" customWidth="1"/>
    <col min="12" max="12" width="10.7109375" style="7" customWidth="1"/>
    <col min="13" max="13" width="12.85546875" style="7" customWidth="1"/>
    <col min="14" max="14" width="10.5703125" style="7" customWidth="1"/>
    <col min="15" max="16384" width="9.140625" style="7"/>
  </cols>
  <sheetData>
    <row r="1" spans="1:11" x14ac:dyDescent="0.25">
      <c r="H1" s="7" t="s">
        <v>67</v>
      </c>
    </row>
    <row r="2" spans="1:11" x14ac:dyDescent="0.25">
      <c r="H2" s="7" t="s">
        <v>60</v>
      </c>
    </row>
    <row r="4" spans="1:11" x14ac:dyDescent="0.25">
      <c r="H4" s="7" t="s">
        <v>49</v>
      </c>
    </row>
    <row r="5" spans="1:11" x14ac:dyDescent="0.25">
      <c r="H5" s="7" t="s">
        <v>61</v>
      </c>
    </row>
    <row r="6" spans="1:11" x14ac:dyDescent="0.25">
      <c r="H6" s="7" t="s">
        <v>62</v>
      </c>
    </row>
    <row r="7" spans="1:11" x14ac:dyDescent="0.25">
      <c r="H7" s="7" t="s">
        <v>63</v>
      </c>
    </row>
    <row r="8" spans="1:11" x14ac:dyDescent="0.25">
      <c r="H8" s="7" t="s">
        <v>57</v>
      </c>
    </row>
    <row r="9" spans="1:11" x14ac:dyDescent="0.25">
      <c r="H9" s="7" t="s">
        <v>57</v>
      </c>
    </row>
    <row r="10" spans="1:11" ht="18.75" customHeight="1" x14ac:dyDescent="0.25"/>
    <row r="11" spans="1:11" x14ac:dyDescent="0.25">
      <c r="E11" s="17" t="s">
        <v>48</v>
      </c>
      <c r="I11" s="17"/>
    </row>
    <row r="12" spans="1:11" x14ac:dyDescent="0.25">
      <c r="B12" s="31" t="s">
        <v>86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8" customHeight="1" thickBot="1" x14ac:dyDescent="0.3">
      <c r="D13" s="7" t="s">
        <v>69</v>
      </c>
    </row>
    <row r="14" spans="1:11" ht="12.75" customHeight="1" x14ac:dyDescent="0.25">
      <c r="A14" s="42" t="s">
        <v>37</v>
      </c>
      <c r="B14" s="43" t="s">
        <v>38</v>
      </c>
      <c r="C14" s="43" t="s">
        <v>50</v>
      </c>
      <c r="D14" s="43" t="s">
        <v>51</v>
      </c>
      <c r="E14" s="43" t="s">
        <v>52</v>
      </c>
      <c r="F14" s="43" t="s">
        <v>81</v>
      </c>
      <c r="G14" s="43" t="s">
        <v>56</v>
      </c>
      <c r="H14" s="43" t="s">
        <v>78</v>
      </c>
      <c r="I14" s="43" t="s">
        <v>79</v>
      </c>
      <c r="J14" s="43" t="s">
        <v>53</v>
      </c>
      <c r="K14" s="56" t="s">
        <v>80</v>
      </c>
    </row>
    <row r="15" spans="1:11" ht="12.7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57"/>
    </row>
    <row r="16" spans="1:11" ht="12.75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57"/>
    </row>
    <row r="17" spans="1:14" ht="70.5" customHeight="1" thickBot="1" x14ac:dyDescent="0.3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9"/>
    </row>
    <row r="18" spans="1:14" x14ac:dyDescent="0.25">
      <c r="A18" s="63">
        <v>1</v>
      </c>
      <c r="B18" s="60" t="s">
        <v>0</v>
      </c>
      <c r="C18" s="39">
        <f>90/60</f>
        <v>1.5</v>
      </c>
      <c r="D18" s="40">
        <v>240.24</v>
      </c>
      <c r="E18" s="40">
        <f>D18*C18</f>
        <v>360.36</v>
      </c>
      <c r="F18" s="40">
        <f>E18*1.13</f>
        <v>407.20679999999999</v>
      </c>
      <c r="G18" s="40">
        <f>2.5*1.023*1.074</f>
        <v>2.7467549999999998</v>
      </c>
      <c r="H18" s="40">
        <f>F18*(4.0627-0.4)</f>
        <v>1491.4763463600002</v>
      </c>
      <c r="I18" s="40">
        <f>F18*0.05</f>
        <v>20.360340000000001</v>
      </c>
      <c r="J18" s="40">
        <f>F18+G18+H18+I18</f>
        <v>1921.7902413600002</v>
      </c>
      <c r="K18" s="53">
        <f>J18*1.18</f>
        <v>2267.7124848048002</v>
      </c>
      <c r="M18" s="10"/>
      <c r="N18" s="10"/>
    </row>
    <row r="19" spans="1:14" x14ac:dyDescent="0.25">
      <c r="A19" s="68">
        <f>A18+1</f>
        <v>2</v>
      </c>
      <c r="B19" s="1" t="s">
        <v>1</v>
      </c>
      <c r="C19" s="5">
        <f>95/60</f>
        <v>1.5833333333333333</v>
      </c>
      <c r="D19" s="2">
        <v>240.24</v>
      </c>
      <c r="E19" s="2">
        <f t="shared" ref="E19:E39" si="0">D19*C19</f>
        <v>380.38</v>
      </c>
      <c r="F19" s="2">
        <f t="shared" ref="F19:F39" si="1">E19*1.13</f>
        <v>429.82939999999996</v>
      </c>
      <c r="G19" s="2">
        <f>10.9*1.023*1.074</f>
        <v>11.975851799999999</v>
      </c>
      <c r="H19" s="2">
        <f t="shared" ref="H19:H39" si="2">F19*(4.0627-0.4)</f>
        <v>1574.3361433800001</v>
      </c>
      <c r="I19" s="2">
        <f t="shared" ref="I19:I39" si="3">F19*0.05</f>
        <v>21.49147</v>
      </c>
      <c r="J19" s="2">
        <f t="shared" ref="J19:J39" si="4">F19+G19+H19+I19</f>
        <v>2037.63286518</v>
      </c>
      <c r="K19" s="54">
        <f t="shared" ref="K19:K39" si="5">J19*1.18</f>
        <v>2404.4067809123999</v>
      </c>
      <c r="M19" s="10"/>
      <c r="N19" s="10"/>
    </row>
    <row r="20" spans="1:14" x14ac:dyDescent="0.25">
      <c r="A20" s="68">
        <f t="shared" ref="A20:A39" si="6">A19+1</f>
        <v>3</v>
      </c>
      <c r="B20" s="1" t="s">
        <v>2</v>
      </c>
      <c r="C20" s="5">
        <f>101/60</f>
        <v>1.6833333333333333</v>
      </c>
      <c r="D20" s="2">
        <v>240.24</v>
      </c>
      <c r="E20" s="2">
        <f t="shared" si="0"/>
        <v>404.404</v>
      </c>
      <c r="F20" s="2">
        <f t="shared" si="1"/>
        <v>456.97651999999994</v>
      </c>
      <c r="G20" s="2">
        <f>1.9*1.023*1.074</f>
        <v>2.0875337999999997</v>
      </c>
      <c r="H20" s="2">
        <f t="shared" si="2"/>
        <v>1673.7678998040001</v>
      </c>
      <c r="I20" s="2">
        <f t="shared" si="3"/>
        <v>22.848825999999999</v>
      </c>
      <c r="J20" s="2">
        <f t="shared" si="4"/>
        <v>2155.6807796039998</v>
      </c>
      <c r="K20" s="54">
        <f t="shared" si="5"/>
        <v>2543.7033199327198</v>
      </c>
      <c r="M20" s="10"/>
      <c r="N20" s="10"/>
    </row>
    <row r="21" spans="1:14" x14ac:dyDescent="0.25">
      <c r="A21" s="68">
        <f t="shared" si="6"/>
        <v>4</v>
      </c>
      <c r="B21" s="1" t="s">
        <v>24</v>
      </c>
      <c r="C21" s="5">
        <f>100/60</f>
        <v>1.6666666666666667</v>
      </c>
      <c r="D21" s="2">
        <v>240.24</v>
      </c>
      <c r="E21" s="2">
        <f t="shared" si="0"/>
        <v>400.40000000000003</v>
      </c>
      <c r="F21" s="2">
        <f t="shared" si="1"/>
        <v>452.452</v>
      </c>
      <c r="G21" s="2">
        <f>(0.3+0.05+0.1+0.2+5)*1.023*1.074</f>
        <v>6.2076662999999996</v>
      </c>
      <c r="H21" s="2">
        <f t="shared" si="2"/>
        <v>1657.1959404000002</v>
      </c>
      <c r="I21" s="2">
        <f t="shared" si="3"/>
        <v>22.622600000000002</v>
      </c>
      <c r="J21" s="2">
        <f t="shared" si="4"/>
        <v>2138.4782067000001</v>
      </c>
      <c r="K21" s="54">
        <f t="shared" si="5"/>
        <v>2523.4042839059998</v>
      </c>
      <c r="M21" s="10"/>
      <c r="N21" s="10"/>
    </row>
    <row r="22" spans="1:14" x14ac:dyDescent="0.25">
      <c r="A22" s="68">
        <f t="shared" si="6"/>
        <v>5</v>
      </c>
      <c r="B22" s="1" t="s">
        <v>5</v>
      </c>
      <c r="C22" s="5">
        <f>90/60</f>
        <v>1.5</v>
      </c>
      <c r="D22" s="2">
        <v>240.24</v>
      </c>
      <c r="E22" s="2">
        <f t="shared" si="0"/>
        <v>360.36</v>
      </c>
      <c r="F22" s="2">
        <f t="shared" si="1"/>
        <v>407.20679999999999</v>
      </c>
      <c r="G22" s="2">
        <f>13.2*1.023*1.074</f>
        <v>14.5028664</v>
      </c>
      <c r="H22" s="2">
        <f t="shared" si="2"/>
        <v>1491.4763463600002</v>
      </c>
      <c r="I22" s="2">
        <f t="shared" si="3"/>
        <v>20.360340000000001</v>
      </c>
      <c r="J22" s="2">
        <f t="shared" si="4"/>
        <v>1933.5463527600002</v>
      </c>
      <c r="K22" s="54">
        <f t="shared" si="5"/>
        <v>2281.5846962568003</v>
      </c>
      <c r="M22" s="10"/>
      <c r="N22" s="10"/>
    </row>
    <row r="23" spans="1:14" x14ac:dyDescent="0.25">
      <c r="A23" s="68">
        <f t="shared" si="6"/>
        <v>6</v>
      </c>
      <c r="B23" s="1" t="s">
        <v>4</v>
      </c>
      <c r="C23" s="5">
        <f>32/60</f>
        <v>0.53333333333333333</v>
      </c>
      <c r="D23" s="2">
        <v>240.24</v>
      </c>
      <c r="E23" s="2">
        <f t="shared" si="0"/>
        <v>128.12800000000001</v>
      </c>
      <c r="F23" s="2">
        <f t="shared" si="1"/>
        <v>144.78464</v>
      </c>
      <c r="G23" s="2">
        <f>45.5*1.023</f>
        <v>46.546499999999995</v>
      </c>
      <c r="H23" s="2">
        <f t="shared" si="2"/>
        <v>530.30270092800004</v>
      </c>
      <c r="I23" s="2">
        <f t="shared" si="3"/>
        <v>7.2392320000000003</v>
      </c>
      <c r="J23" s="2">
        <f t="shared" si="4"/>
        <v>728.87307292800006</v>
      </c>
      <c r="K23" s="54">
        <f t="shared" si="5"/>
        <v>860.07022605504005</v>
      </c>
      <c r="M23" s="10"/>
      <c r="N23" s="10"/>
    </row>
    <row r="24" spans="1:14" x14ac:dyDescent="0.25">
      <c r="A24" s="68">
        <f t="shared" si="6"/>
        <v>7</v>
      </c>
      <c r="B24" s="1" t="s">
        <v>25</v>
      </c>
      <c r="C24" s="5">
        <f>40/60</f>
        <v>0.66666666666666663</v>
      </c>
      <c r="D24" s="2">
        <v>240.24</v>
      </c>
      <c r="E24" s="2">
        <f t="shared" si="0"/>
        <v>160.16</v>
      </c>
      <c r="F24" s="2">
        <f t="shared" si="1"/>
        <v>180.98079999999999</v>
      </c>
      <c r="G24" s="2">
        <f>(10+0.97+3+0.013)*1.023*1.074</f>
        <v>15.363150065999999</v>
      </c>
      <c r="H24" s="2">
        <f t="shared" si="2"/>
        <v>662.87837616000002</v>
      </c>
      <c r="I24" s="2">
        <f t="shared" si="3"/>
        <v>9.0490399999999998</v>
      </c>
      <c r="J24" s="2">
        <f t="shared" si="4"/>
        <v>868.27136622599994</v>
      </c>
      <c r="K24" s="54">
        <f t="shared" si="5"/>
        <v>1024.56021214668</v>
      </c>
      <c r="M24" s="10"/>
      <c r="N24" s="10"/>
    </row>
    <row r="25" spans="1:14" x14ac:dyDescent="0.25">
      <c r="A25" s="68">
        <f t="shared" si="6"/>
        <v>8</v>
      </c>
      <c r="B25" s="1" t="s">
        <v>26</v>
      </c>
      <c r="C25" s="5">
        <f>40/60</f>
        <v>0.66666666666666663</v>
      </c>
      <c r="D25" s="2">
        <v>240.24</v>
      </c>
      <c r="E25" s="2">
        <f t="shared" si="0"/>
        <v>160.16</v>
      </c>
      <c r="F25" s="2">
        <f t="shared" si="1"/>
        <v>180.98079999999999</v>
      </c>
      <c r="G25" s="2">
        <f>13.1*1.023*1.074</f>
        <v>14.392996200000001</v>
      </c>
      <c r="H25" s="2">
        <f t="shared" si="2"/>
        <v>662.87837616000002</v>
      </c>
      <c r="I25" s="2">
        <f t="shared" si="3"/>
        <v>9.0490399999999998</v>
      </c>
      <c r="J25" s="2">
        <f t="shared" si="4"/>
        <v>867.30121236000002</v>
      </c>
      <c r="K25" s="54">
        <f t="shared" si="5"/>
        <v>1023.4154305848</v>
      </c>
      <c r="M25" s="10"/>
      <c r="N25" s="10"/>
    </row>
    <row r="26" spans="1:14" x14ac:dyDescent="0.25">
      <c r="A26" s="68">
        <f t="shared" si="6"/>
        <v>9</v>
      </c>
      <c r="B26" s="1" t="s">
        <v>27</v>
      </c>
      <c r="C26" s="5">
        <f>128/60</f>
        <v>2.1333333333333333</v>
      </c>
      <c r="D26" s="2">
        <v>240.24</v>
      </c>
      <c r="E26" s="2">
        <f t="shared" si="0"/>
        <v>512.51200000000006</v>
      </c>
      <c r="F26" s="2">
        <f t="shared" si="1"/>
        <v>579.13855999999998</v>
      </c>
      <c r="G26" s="2">
        <f>76.9*1.023*1.074</f>
        <v>84.490183800000011</v>
      </c>
      <c r="H26" s="2">
        <f t="shared" si="2"/>
        <v>2121.2108037120001</v>
      </c>
      <c r="I26" s="2">
        <f t="shared" si="3"/>
        <v>28.956928000000001</v>
      </c>
      <c r="J26" s="2">
        <f t="shared" si="4"/>
        <v>2813.7964755120001</v>
      </c>
      <c r="K26" s="54">
        <f t="shared" si="5"/>
        <v>3320.2798411041599</v>
      </c>
      <c r="M26" s="10"/>
      <c r="N26" s="10"/>
    </row>
    <row r="27" spans="1:14" x14ac:dyDescent="0.25">
      <c r="A27" s="68">
        <f t="shared" si="6"/>
        <v>10</v>
      </c>
      <c r="B27" s="1" t="s">
        <v>28</v>
      </c>
      <c r="C27" s="5">
        <f>80/60</f>
        <v>1.3333333333333333</v>
      </c>
      <c r="D27" s="2">
        <v>240.24</v>
      </c>
      <c r="E27" s="2">
        <f t="shared" si="0"/>
        <v>320.32</v>
      </c>
      <c r="F27" s="2">
        <f t="shared" si="1"/>
        <v>361.96159999999998</v>
      </c>
      <c r="G27" s="2">
        <f>35.5*1.023*1.074</f>
        <v>39.003920999999998</v>
      </c>
      <c r="H27" s="2">
        <f t="shared" si="2"/>
        <v>1325.75675232</v>
      </c>
      <c r="I27" s="2">
        <f t="shared" si="3"/>
        <v>18.09808</v>
      </c>
      <c r="J27" s="2">
        <f t="shared" si="4"/>
        <v>1744.8203533200001</v>
      </c>
      <c r="K27" s="54">
        <f t="shared" si="5"/>
        <v>2058.8880169176</v>
      </c>
      <c r="M27" s="10"/>
      <c r="N27" s="10"/>
    </row>
    <row r="28" spans="1:14" x14ac:dyDescent="0.25">
      <c r="A28" s="68">
        <f t="shared" si="6"/>
        <v>11</v>
      </c>
      <c r="B28" s="1" t="s">
        <v>9</v>
      </c>
      <c r="C28" s="5">
        <f>127/60</f>
        <v>2.1166666666666667</v>
      </c>
      <c r="D28" s="2">
        <v>240.24</v>
      </c>
      <c r="E28" s="2">
        <f t="shared" si="0"/>
        <v>508.50800000000004</v>
      </c>
      <c r="F28" s="2">
        <f t="shared" si="1"/>
        <v>574.61404000000005</v>
      </c>
      <c r="G28" s="2">
        <f>29.7*1.023*1.074</f>
        <v>32.631449399999994</v>
      </c>
      <c r="H28" s="2">
        <f t="shared" si="2"/>
        <v>2104.6388443080004</v>
      </c>
      <c r="I28" s="2">
        <f t="shared" si="3"/>
        <v>28.730702000000004</v>
      </c>
      <c r="J28" s="2">
        <f t="shared" si="4"/>
        <v>2740.6150357080005</v>
      </c>
      <c r="K28" s="54">
        <f t="shared" si="5"/>
        <v>3233.9257421354405</v>
      </c>
      <c r="M28" s="10"/>
      <c r="N28" s="10"/>
    </row>
    <row r="29" spans="1:14" x14ac:dyDescent="0.25">
      <c r="A29" s="68">
        <f t="shared" si="6"/>
        <v>12</v>
      </c>
      <c r="B29" s="1" t="s">
        <v>11</v>
      </c>
      <c r="C29" s="5">
        <f>121/60</f>
        <v>2.0166666666666666</v>
      </c>
      <c r="D29" s="2">
        <v>240.24</v>
      </c>
      <c r="E29" s="2">
        <f t="shared" si="0"/>
        <v>484.48399999999998</v>
      </c>
      <c r="F29" s="2">
        <f t="shared" si="1"/>
        <v>547.46691999999996</v>
      </c>
      <c r="G29" s="2">
        <f>23.48*1.023*1.074</f>
        <v>25.797522959999998</v>
      </c>
      <c r="H29" s="2">
        <f t="shared" si="2"/>
        <v>2005.2070878840002</v>
      </c>
      <c r="I29" s="2">
        <f t="shared" si="3"/>
        <v>27.373345999999998</v>
      </c>
      <c r="J29" s="2">
        <f t="shared" si="4"/>
        <v>2605.8448768439998</v>
      </c>
      <c r="K29" s="54">
        <f t="shared" si="5"/>
        <v>3074.8969546759195</v>
      </c>
      <c r="M29" s="10"/>
      <c r="N29" s="10"/>
    </row>
    <row r="30" spans="1:14" x14ac:dyDescent="0.25">
      <c r="A30" s="68">
        <f t="shared" si="6"/>
        <v>13</v>
      </c>
      <c r="B30" s="1" t="s">
        <v>10</v>
      </c>
      <c r="C30" s="5">
        <f>103/60</f>
        <v>1.7166666666666666</v>
      </c>
      <c r="D30" s="2">
        <v>240.24</v>
      </c>
      <c r="E30" s="2">
        <f t="shared" si="0"/>
        <v>412.41199999999998</v>
      </c>
      <c r="F30" s="2">
        <f t="shared" si="1"/>
        <v>466.02555999999993</v>
      </c>
      <c r="G30" s="2">
        <f>(0.02+0.1+0.1+75)*1.023*1.074</f>
        <v>82.644364440000004</v>
      </c>
      <c r="H30" s="2">
        <f t="shared" si="2"/>
        <v>1706.9118186119999</v>
      </c>
      <c r="I30" s="2">
        <f t="shared" si="3"/>
        <v>23.301277999999996</v>
      </c>
      <c r="J30" s="2">
        <f t="shared" si="4"/>
        <v>2278.883021052</v>
      </c>
      <c r="K30" s="54">
        <f t="shared" si="5"/>
        <v>2689.0819648413599</v>
      </c>
      <c r="M30" s="10"/>
      <c r="N30" s="10"/>
    </row>
    <row r="31" spans="1:14" x14ac:dyDescent="0.25">
      <c r="A31" s="68">
        <f t="shared" si="6"/>
        <v>14</v>
      </c>
      <c r="B31" s="1" t="s">
        <v>29</v>
      </c>
      <c r="C31" s="5">
        <f>50/60</f>
        <v>0.83333333333333337</v>
      </c>
      <c r="D31" s="2">
        <v>240.24</v>
      </c>
      <c r="E31" s="2">
        <f t="shared" si="0"/>
        <v>200.20000000000002</v>
      </c>
      <c r="F31" s="2">
        <f t="shared" si="1"/>
        <v>226.226</v>
      </c>
      <c r="G31" s="2">
        <f>(0.32+0.1+1+1+0.003+0.33+1)*1.023*1.074</f>
        <v>4.1234286060000001</v>
      </c>
      <c r="H31" s="2">
        <f t="shared" si="2"/>
        <v>828.59797020000008</v>
      </c>
      <c r="I31" s="2">
        <f t="shared" si="3"/>
        <v>11.311300000000001</v>
      </c>
      <c r="J31" s="2">
        <f t="shared" si="4"/>
        <v>1070.2586988060002</v>
      </c>
      <c r="K31" s="54">
        <f t="shared" si="5"/>
        <v>1262.9052645910801</v>
      </c>
      <c r="M31" s="10"/>
      <c r="N31" s="10"/>
    </row>
    <row r="32" spans="1:14" x14ac:dyDescent="0.25">
      <c r="A32" s="68">
        <f t="shared" si="6"/>
        <v>15</v>
      </c>
      <c r="B32" s="1" t="s">
        <v>16</v>
      </c>
      <c r="C32" s="5">
        <f>91/60</f>
        <v>1.5166666666666666</v>
      </c>
      <c r="D32" s="2">
        <v>240.24</v>
      </c>
      <c r="E32" s="2">
        <f t="shared" si="0"/>
        <v>364.36399999999998</v>
      </c>
      <c r="F32" s="2">
        <f t="shared" si="1"/>
        <v>411.73131999999993</v>
      </c>
      <c r="G32" s="2">
        <f>12*1.023*1.074</f>
        <v>13.184424</v>
      </c>
      <c r="H32" s="2">
        <f t="shared" si="2"/>
        <v>1508.0483057639999</v>
      </c>
      <c r="I32" s="2">
        <f t="shared" si="3"/>
        <v>20.586565999999998</v>
      </c>
      <c r="J32" s="2">
        <f t="shared" si="4"/>
        <v>1953.5506157639998</v>
      </c>
      <c r="K32" s="54">
        <f t="shared" si="5"/>
        <v>2305.1897266015194</v>
      </c>
      <c r="M32" s="10"/>
      <c r="N32" s="10"/>
    </row>
    <row r="33" spans="1:14" x14ac:dyDescent="0.25">
      <c r="A33" s="68">
        <f t="shared" si="6"/>
        <v>16</v>
      </c>
      <c r="B33" s="1" t="s">
        <v>30</v>
      </c>
      <c r="C33" s="5">
        <f>120/60</f>
        <v>2</v>
      </c>
      <c r="D33" s="2">
        <v>240.24</v>
      </c>
      <c r="E33" s="2">
        <f t="shared" si="0"/>
        <v>480.48</v>
      </c>
      <c r="F33" s="2">
        <f t="shared" si="1"/>
        <v>542.94240000000002</v>
      </c>
      <c r="G33" s="2">
        <f>19.3*1.023*1.074</f>
        <v>21.204948600000002</v>
      </c>
      <c r="H33" s="2">
        <f t="shared" si="2"/>
        <v>1988.6351284800003</v>
      </c>
      <c r="I33" s="2">
        <f t="shared" si="3"/>
        <v>27.147120000000001</v>
      </c>
      <c r="J33" s="2">
        <f t="shared" si="4"/>
        <v>2579.9295970800003</v>
      </c>
      <c r="K33" s="54">
        <f t="shared" si="5"/>
        <v>3044.3169245544004</v>
      </c>
      <c r="M33" s="10"/>
      <c r="N33" s="10"/>
    </row>
    <row r="34" spans="1:14" x14ac:dyDescent="0.25">
      <c r="A34" s="68">
        <f t="shared" si="6"/>
        <v>17</v>
      </c>
      <c r="B34" s="1" t="s">
        <v>14</v>
      </c>
      <c r="C34" s="5">
        <f>122/60</f>
        <v>2.0333333333333332</v>
      </c>
      <c r="D34" s="2">
        <v>240.24</v>
      </c>
      <c r="E34" s="2">
        <f t="shared" si="0"/>
        <v>488.488</v>
      </c>
      <c r="F34" s="2">
        <f t="shared" si="1"/>
        <v>551.9914399999999</v>
      </c>
      <c r="G34" s="2">
        <f>10*1.023*1.074</f>
        <v>10.987019999999999</v>
      </c>
      <c r="H34" s="2">
        <f t="shared" si="2"/>
        <v>2021.7790472879999</v>
      </c>
      <c r="I34" s="2">
        <f t="shared" si="3"/>
        <v>27.599571999999995</v>
      </c>
      <c r="J34" s="2">
        <f t="shared" si="4"/>
        <v>2612.357079288</v>
      </c>
      <c r="K34" s="54">
        <f t="shared" si="5"/>
        <v>3082.58135355984</v>
      </c>
      <c r="M34" s="10"/>
      <c r="N34" s="10"/>
    </row>
    <row r="35" spans="1:14" x14ac:dyDescent="0.25">
      <c r="A35" s="68">
        <f t="shared" si="6"/>
        <v>18</v>
      </c>
      <c r="B35" s="1" t="s">
        <v>31</v>
      </c>
      <c r="C35" s="5">
        <f>46/60</f>
        <v>0.76666666666666672</v>
      </c>
      <c r="D35" s="2">
        <v>240.24</v>
      </c>
      <c r="E35" s="2">
        <f t="shared" si="0"/>
        <v>184.18400000000003</v>
      </c>
      <c r="F35" s="2">
        <f t="shared" si="1"/>
        <v>208.12792000000002</v>
      </c>
      <c r="G35" s="2">
        <f>66*1.023*1.074</f>
        <v>72.51433200000001</v>
      </c>
      <c r="H35" s="2">
        <f t="shared" si="2"/>
        <v>762.31013258400014</v>
      </c>
      <c r="I35" s="2">
        <f t="shared" si="3"/>
        <v>10.406396000000001</v>
      </c>
      <c r="J35" s="2">
        <f t="shared" si="4"/>
        <v>1053.3587805840002</v>
      </c>
      <c r="K35" s="54">
        <f t="shared" si="5"/>
        <v>1242.9633610891201</v>
      </c>
      <c r="M35" s="10"/>
      <c r="N35" s="10"/>
    </row>
    <row r="36" spans="1:14" x14ac:dyDescent="0.25">
      <c r="A36" s="68">
        <f t="shared" si="6"/>
        <v>19</v>
      </c>
      <c r="B36" s="1" t="s">
        <v>13</v>
      </c>
      <c r="C36" s="5">
        <f>64/60</f>
        <v>1.0666666666666667</v>
      </c>
      <c r="D36" s="2">
        <v>240.24</v>
      </c>
      <c r="E36" s="2">
        <f t="shared" si="0"/>
        <v>256.25600000000003</v>
      </c>
      <c r="F36" s="2">
        <f t="shared" si="1"/>
        <v>289.56927999999999</v>
      </c>
      <c r="G36" s="2"/>
      <c r="H36" s="2">
        <f t="shared" si="2"/>
        <v>1060.6054018560001</v>
      </c>
      <c r="I36" s="2">
        <f t="shared" si="3"/>
        <v>14.478464000000001</v>
      </c>
      <c r="J36" s="2">
        <f t="shared" si="4"/>
        <v>1364.653145856</v>
      </c>
      <c r="K36" s="54">
        <f t="shared" si="5"/>
        <v>1610.29071211008</v>
      </c>
      <c r="M36" s="10"/>
      <c r="N36" s="10"/>
    </row>
    <row r="37" spans="1:14" x14ac:dyDescent="0.25">
      <c r="A37" s="68">
        <f t="shared" si="6"/>
        <v>20</v>
      </c>
      <c r="B37" s="1" t="s">
        <v>32</v>
      </c>
      <c r="C37" s="5">
        <f>146/60</f>
        <v>2.4333333333333331</v>
      </c>
      <c r="D37" s="2">
        <v>240.24</v>
      </c>
      <c r="E37" s="2">
        <f t="shared" si="0"/>
        <v>584.58399999999995</v>
      </c>
      <c r="F37" s="2">
        <f t="shared" si="1"/>
        <v>660.5799199999999</v>
      </c>
      <c r="G37" s="2">
        <f>(0.7+0.1+1)*1.023*1.074</f>
        <v>1.9776635999999999</v>
      </c>
      <c r="H37" s="2">
        <f t="shared" si="2"/>
        <v>2419.5060729840002</v>
      </c>
      <c r="I37" s="2">
        <f t="shared" si="3"/>
        <v>33.028995999999999</v>
      </c>
      <c r="J37" s="2">
        <f t="shared" si="4"/>
        <v>3115.092652584</v>
      </c>
      <c r="K37" s="54">
        <f t="shared" si="5"/>
        <v>3675.80933004912</v>
      </c>
      <c r="M37" s="10"/>
      <c r="N37" s="10"/>
    </row>
    <row r="38" spans="1:14" x14ac:dyDescent="0.25">
      <c r="A38" s="68">
        <f t="shared" si="6"/>
        <v>21</v>
      </c>
      <c r="B38" s="1" t="s">
        <v>33</v>
      </c>
      <c r="C38" s="5">
        <f>15/60</f>
        <v>0.25</v>
      </c>
      <c r="D38" s="2">
        <v>240.24</v>
      </c>
      <c r="E38" s="2">
        <f t="shared" si="0"/>
        <v>60.06</v>
      </c>
      <c r="F38" s="2">
        <f t="shared" si="1"/>
        <v>67.867800000000003</v>
      </c>
      <c r="G38" s="2">
        <f>1.5*1.023*1.074</f>
        <v>1.648053</v>
      </c>
      <c r="H38" s="2">
        <f t="shared" si="2"/>
        <v>248.57939106000003</v>
      </c>
      <c r="I38" s="2">
        <f t="shared" si="3"/>
        <v>3.3933900000000001</v>
      </c>
      <c r="J38" s="2">
        <f t="shared" si="4"/>
        <v>321.48863406000004</v>
      </c>
      <c r="K38" s="54">
        <f t="shared" si="5"/>
        <v>379.35658819080004</v>
      </c>
      <c r="M38" s="10"/>
      <c r="N38" s="10"/>
    </row>
    <row r="39" spans="1:14" ht="16.5" thickBot="1" x14ac:dyDescent="0.3">
      <c r="A39" s="73">
        <f t="shared" si="6"/>
        <v>22</v>
      </c>
      <c r="B39" s="3" t="s">
        <v>17</v>
      </c>
      <c r="C39" s="6">
        <f>43/60</f>
        <v>0.71666666666666667</v>
      </c>
      <c r="D39" s="4">
        <v>240.24</v>
      </c>
      <c r="E39" s="4">
        <f t="shared" si="0"/>
        <v>172.172</v>
      </c>
      <c r="F39" s="4">
        <f t="shared" si="1"/>
        <v>194.55435999999997</v>
      </c>
      <c r="G39" s="4">
        <f>125.6*1.023*1.074</f>
        <v>137.99697119999996</v>
      </c>
      <c r="H39" s="4">
        <f t="shared" si="2"/>
        <v>712.59425437200002</v>
      </c>
      <c r="I39" s="4">
        <f t="shared" si="3"/>
        <v>9.7277179999999994</v>
      </c>
      <c r="J39" s="4">
        <f t="shared" si="4"/>
        <v>1054.8733035720002</v>
      </c>
      <c r="K39" s="55">
        <f t="shared" si="5"/>
        <v>1244.7504982149601</v>
      </c>
      <c r="M39" s="10"/>
      <c r="N39" s="10"/>
    </row>
    <row r="40" spans="1:14" x14ac:dyDescent="0.25">
      <c r="B40" s="8" t="s">
        <v>77</v>
      </c>
    </row>
    <row r="41" spans="1:14" x14ac:dyDescent="0.25">
      <c r="B41" s="32" t="s">
        <v>75</v>
      </c>
      <c r="C41" s="32"/>
      <c r="D41" s="12" t="s">
        <v>54</v>
      </c>
      <c r="E41" s="10">
        <f>'питьевая вода'!E42</f>
        <v>271.47120000000001</v>
      </c>
      <c r="F41" s="7" t="s">
        <v>34</v>
      </c>
      <c r="K41" s="10"/>
    </row>
    <row r="42" spans="1:14" ht="15.75" customHeight="1" x14ac:dyDescent="0.25">
      <c r="B42" s="33" t="s">
        <v>76</v>
      </c>
      <c r="C42" s="33"/>
      <c r="D42" s="12" t="s">
        <v>54</v>
      </c>
      <c r="E42" s="10">
        <f>'питьевая вода'!E43</f>
        <v>193.98709999999997</v>
      </c>
      <c r="F42" s="7" t="s">
        <v>34</v>
      </c>
    </row>
    <row r="43" spans="1:14" x14ac:dyDescent="0.25">
      <c r="B43" s="33" t="s">
        <v>73</v>
      </c>
      <c r="C43" s="33"/>
      <c r="D43" s="28" t="s">
        <v>55</v>
      </c>
      <c r="E43" s="10">
        <f>'питьевая вода'!E44</f>
        <v>622</v>
      </c>
      <c r="F43" s="7" t="s">
        <v>34</v>
      </c>
    </row>
    <row r="44" spans="1:14" x14ac:dyDescent="0.25">
      <c r="B44" s="11" t="s">
        <v>84</v>
      </c>
    </row>
    <row r="45" spans="1:14" x14ac:dyDescent="0.25">
      <c r="B45" s="29" t="s">
        <v>74</v>
      </c>
      <c r="C45" s="12">
        <v>105</v>
      </c>
      <c r="D45" s="28" t="s">
        <v>35</v>
      </c>
      <c r="E45" s="12">
        <f>E42</f>
        <v>193.98709999999997</v>
      </c>
      <c r="F45" s="28" t="s">
        <v>36</v>
      </c>
      <c r="G45" s="28"/>
      <c r="H45" s="20">
        <f>C45+E45</f>
        <v>298.98709999999994</v>
      </c>
      <c r="I45" s="14" t="s">
        <v>34</v>
      </c>
    </row>
    <row r="46" spans="1:14" ht="14.25" customHeight="1" x14ac:dyDescent="0.25"/>
    <row r="47" spans="1:14" ht="14.25" customHeight="1" x14ac:dyDescent="0.25"/>
    <row r="48" spans="1:14" x14ac:dyDescent="0.25">
      <c r="A48" s="7" t="s">
        <v>39</v>
      </c>
      <c r="F48" s="31"/>
      <c r="G48" s="31"/>
      <c r="H48" s="31"/>
      <c r="J48" s="7" t="s">
        <v>82</v>
      </c>
      <c r="K48" s="28"/>
    </row>
    <row r="49" spans="1:11" x14ac:dyDescent="0.25">
      <c r="K49" s="28"/>
    </row>
    <row r="51" spans="1:11" x14ac:dyDescent="0.25">
      <c r="A51" s="7" t="s">
        <v>40</v>
      </c>
    </row>
    <row r="52" spans="1:11" x14ac:dyDescent="0.25">
      <c r="A52" s="36" t="s">
        <v>58</v>
      </c>
    </row>
    <row r="53" spans="1:11" x14ac:dyDescent="0.25">
      <c r="A53" s="36" t="s">
        <v>59</v>
      </c>
    </row>
  </sheetData>
  <mergeCells count="16">
    <mergeCell ref="A14:A17"/>
    <mergeCell ref="B14:B17"/>
    <mergeCell ref="C14:C17"/>
    <mergeCell ref="D14:D17"/>
    <mergeCell ref="E14:E17"/>
    <mergeCell ref="F48:H48"/>
    <mergeCell ref="B42:C42"/>
    <mergeCell ref="B43:C43"/>
    <mergeCell ref="B12:K12"/>
    <mergeCell ref="F14:F17"/>
    <mergeCell ref="H14:H17"/>
    <mergeCell ref="I14:I17"/>
    <mergeCell ref="J14:J17"/>
    <mergeCell ref="K14:K17"/>
    <mergeCell ref="B41:C41"/>
    <mergeCell ref="G14:G17"/>
  </mergeCells>
  <phoneticPr fontId="2" type="noConversion"/>
  <pageMargins left="0.78740157480314965" right="0.39370078740157483" top="0.39370078740157483" bottom="0.31496062992125984" header="0.51181102362204722" footer="0.31496062992125984"/>
  <pageSetup paperSize="9" scale="9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МГА</vt:lpstr>
      <vt:lpstr>БАК</vt:lpstr>
      <vt:lpstr>питьевая вода</vt:lpstr>
      <vt:lpstr>стоки</vt:lpstr>
    </vt:vector>
  </TitlesOfParts>
  <Company>МУП ПУ ВКХ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Anisimov_AB</cp:lastModifiedBy>
  <cp:lastPrinted>2017-07-21T05:43:23Z</cp:lastPrinted>
  <dcterms:created xsi:type="dcterms:W3CDTF">2013-03-05T05:28:19Z</dcterms:created>
  <dcterms:modified xsi:type="dcterms:W3CDTF">2017-07-21T06:02:55Z</dcterms:modified>
</cp:coreProperties>
</file>