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85" windowWidth="6000" windowHeight="6300" tabRatio="910" activeTab="2"/>
  </bookViews>
  <sheets>
    <sheet name="нормы" sheetId="56" r:id="rId1"/>
    <sheet name="водовозки" sheetId="58" r:id="rId2"/>
    <sheet name="тарифы" sheetId="55" r:id="rId3"/>
  </sheets>
  <calcPr calcId="145621"/>
</workbook>
</file>

<file path=xl/calcChain.xml><?xml version="1.0" encoding="utf-8"?>
<calcChain xmlns="http://schemas.openxmlformats.org/spreadsheetml/2006/main">
  <c r="E16" i="58" l="1"/>
  <c r="BE42" i="56"/>
  <c r="BE43" i="56"/>
  <c r="BE74" i="56"/>
  <c r="BE75" i="56"/>
  <c r="BE154" i="56"/>
  <c r="BF148" i="56" l="1"/>
  <c r="BF142" i="56"/>
  <c r="BF136" i="56"/>
  <c r="BC24" i="56"/>
  <c r="BC23" i="56"/>
  <c r="AE154" i="56"/>
  <c r="AE153" i="56"/>
  <c r="AE150" i="56"/>
  <c r="AE149" i="56"/>
  <c r="AE148" i="56"/>
  <c r="AE144" i="56"/>
  <c r="AE143" i="56"/>
  <c r="AE142" i="56"/>
  <c r="AE138" i="56"/>
  <c r="AE137" i="56"/>
  <c r="AE136" i="56"/>
  <c r="AE134" i="56"/>
  <c r="AE133" i="56"/>
  <c r="AE132" i="56"/>
  <c r="AE131" i="56"/>
  <c r="AE130" i="56"/>
  <c r="AE129" i="56"/>
  <c r="AE128" i="56"/>
  <c r="AE127" i="56"/>
  <c r="AE126" i="56"/>
  <c r="AE125" i="56"/>
  <c r="AE124" i="56"/>
  <c r="AE123" i="56"/>
  <c r="AE122" i="56"/>
  <c r="AE121" i="56"/>
  <c r="AE120" i="56"/>
  <c r="AE119" i="56"/>
  <c r="AE118" i="56"/>
  <c r="AE117" i="56"/>
  <c r="AE116" i="56"/>
  <c r="AE115" i="56"/>
  <c r="AE114" i="56"/>
  <c r="AE113" i="56"/>
  <c r="AE112" i="56"/>
  <c r="AE111" i="56"/>
  <c r="AE110" i="56"/>
  <c r="AE109" i="56"/>
  <c r="AE108" i="56"/>
  <c r="AE105" i="56"/>
  <c r="AE104" i="56"/>
  <c r="AE103" i="56"/>
  <c r="AE102" i="56"/>
  <c r="AE101" i="56"/>
  <c r="AE100" i="56"/>
  <c r="AE99" i="56"/>
  <c r="AE98" i="56"/>
  <c r="AE97" i="56"/>
  <c r="AE96" i="56"/>
  <c r="AE95" i="56"/>
  <c r="AE94" i="56"/>
  <c r="AE93" i="56"/>
  <c r="AE92" i="56"/>
  <c r="AE91" i="56"/>
  <c r="AE90" i="56"/>
  <c r="AE89" i="56"/>
  <c r="AE88" i="56"/>
  <c r="AE87" i="56"/>
  <c r="AE86" i="56"/>
  <c r="AE85" i="56"/>
  <c r="AE84" i="56"/>
  <c r="AE83" i="56"/>
  <c r="AE82" i="56"/>
  <c r="AE81" i="56"/>
  <c r="AE80" i="56"/>
  <c r="AE79" i="56"/>
  <c r="AE78" i="56"/>
  <c r="AE77" i="56"/>
  <c r="AE76" i="56"/>
  <c r="AE75" i="56"/>
  <c r="AE74" i="56"/>
  <c r="AE73" i="56"/>
  <c r="AE72" i="56"/>
  <c r="AE71" i="56"/>
  <c r="AE70" i="56"/>
  <c r="AE69" i="56"/>
  <c r="AE68" i="56"/>
  <c r="AE67" i="56"/>
  <c r="AE66" i="56"/>
  <c r="AE65" i="56"/>
  <c r="AE64" i="56"/>
  <c r="AE63" i="56"/>
  <c r="AE62" i="56"/>
  <c r="AE61" i="56"/>
  <c r="AE60" i="56"/>
  <c r="AE59" i="56"/>
  <c r="AE58" i="56"/>
  <c r="AE57" i="56"/>
  <c r="AE56" i="56"/>
  <c r="AE55" i="56"/>
  <c r="AE54" i="56"/>
  <c r="AE53" i="56"/>
  <c r="AE52" i="56"/>
  <c r="AE51" i="56"/>
  <c r="AE50" i="56"/>
  <c r="AE49" i="56"/>
  <c r="AE48" i="56"/>
  <c r="AE47" i="56"/>
  <c r="AE46" i="56"/>
  <c r="AE45" i="56"/>
  <c r="AE44" i="56"/>
  <c r="AE43" i="56"/>
  <c r="AE42" i="56"/>
  <c r="AE41" i="56"/>
  <c r="AE40" i="56"/>
  <c r="AE39" i="56"/>
  <c r="AE38" i="56"/>
  <c r="AE37" i="56"/>
  <c r="AE36" i="56"/>
  <c r="AE35" i="56"/>
  <c r="AE34" i="56"/>
  <c r="AE33" i="56"/>
  <c r="AE32" i="56"/>
  <c r="AE31" i="56"/>
  <c r="AE30" i="56"/>
  <c r="AE29" i="56"/>
  <c r="AE28" i="56"/>
  <c r="AE27" i="56"/>
  <c r="AE26" i="56"/>
  <c r="AE25" i="56"/>
  <c r="AE24" i="56"/>
  <c r="AE23" i="56"/>
  <c r="AE22" i="56"/>
  <c r="AE21" i="56"/>
  <c r="AE20" i="56"/>
  <c r="AE19" i="56"/>
  <c r="AE18" i="56"/>
  <c r="AE17" i="56"/>
  <c r="AE16" i="56"/>
  <c r="AD154" i="56"/>
  <c r="AD153" i="56"/>
  <c r="AC153" i="56"/>
  <c r="AC154" i="56"/>
  <c r="AD150" i="56"/>
  <c r="AD149" i="56"/>
  <c r="AD148" i="56"/>
  <c r="AD144" i="56"/>
  <c r="AD143" i="56"/>
  <c r="AD142" i="56"/>
  <c r="AD138" i="56"/>
  <c r="AD137" i="56"/>
  <c r="AD136" i="56"/>
  <c r="AD134" i="56"/>
  <c r="AD133" i="56"/>
  <c r="AD132" i="56"/>
  <c r="AD131" i="56"/>
  <c r="AD130" i="56"/>
  <c r="AD129" i="56"/>
  <c r="AD128" i="56"/>
  <c r="AD127" i="56"/>
  <c r="AD126" i="56"/>
  <c r="AD125" i="56"/>
  <c r="AD124" i="56"/>
  <c r="AD123" i="56"/>
  <c r="AD122" i="56"/>
  <c r="AD121" i="56"/>
  <c r="AD120" i="56"/>
  <c r="AD119" i="56"/>
  <c r="AD118" i="56"/>
  <c r="AD117" i="56"/>
  <c r="AD116" i="56"/>
  <c r="AD115" i="56"/>
  <c r="AD114" i="56"/>
  <c r="AD113" i="56"/>
  <c r="AD112" i="56"/>
  <c r="AD111" i="56"/>
  <c r="AD110" i="56"/>
  <c r="AD109" i="56"/>
  <c r="AD108" i="56"/>
  <c r="AD105" i="56"/>
  <c r="AD104" i="56"/>
  <c r="AD103" i="56"/>
  <c r="AD102" i="56"/>
  <c r="AD101" i="56"/>
  <c r="AD100" i="56"/>
  <c r="AD99" i="56"/>
  <c r="AD98" i="56"/>
  <c r="AD97" i="56"/>
  <c r="AD96" i="56"/>
  <c r="AD95" i="56"/>
  <c r="AD94" i="56"/>
  <c r="AD93" i="56"/>
  <c r="AD92" i="56"/>
  <c r="AD91" i="56"/>
  <c r="AD90" i="56"/>
  <c r="AD89" i="56"/>
  <c r="AD88" i="56"/>
  <c r="AD87" i="56"/>
  <c r="AD86" i="56"/>
  <c r="AD85" i="56"/>
  <c r="AD84" i="56"/>
  <c r="AD83" i="56"/>
  <c r="AD82" i="56"/>
  <c r="AD81" i="56"/>
  <c r="AD80" i="56"/>
  <c r="AD79" i="56"/>
  <c r="AD78" i="56"/>
  <c r="AD77" i="56"/>
  <c r="AD76" i="56"/>
  <c r="AD75" i="56"/>
  <c r="AD74" i="56"/>
  <c r="AD73" i="56"/>
  <c r="AD72" i="56"/>
  <c r="AD71" i="56"/>
  <c r="AD70" i="56"/>
  <c r="AD69" i="56"/>
  <c r="AD68" i="56"/>
  <c r="AD67" i="56"/>
  <c r="AD66" i="56"/>
  <c r="AD65" i="56"/>
  <c r="AD64" i="56"/>
  <c r="AD63" i="56"/>
  <c r="AD62" i="56"/>
  <c r="AD61" i="56"/>
  <c r="AD60" i="56"/>
  <c r="AD59" i="56"/>
  <c r="AD58" i="56"/>
  <c r="AD57" i="56"/>
  <c r="AD56" i="56"/>
  <c r="AD55" i="56"/>
  <c r="AD54" i="56"/>
  <c r="AD53" i="56"/>
  <c r="AD52" i="56"/>
  <c r="AD51" i="56"/>
  <c r="AD50" i="56"/>
  <c r="AD49" i="56"/>
  <c r="AD48" i="56"/>
  <c r="AD47" i="56"/>
  <c r="AD46" i="56"/>
  <c r="AD45" i="56"/>
  <c r="AD44" i="56"/>
  <c r="AD43" i="56"/>
  <c r="AD42" i="56"/>
  <c r="AD41" i="56"/>
  <c r="AD40" i="56"/>
  <c r="AD39" i="56"/>
  <c r="AD38" i="56"/>
  <c r="AD37" i="56"/>
  <c r="AD36" i="56"/>
  <c r="AD35" i="56"/>
  <c r="AD34" i="56"/>
  <c r="AD33" i="56"/>
  <c r="AD32" i="56"/>
  <c r="AD31" i="56"/>
  <c r="AD30" i="56"/>
  <c r="AD29" i="56"/>
  <c r="AD28" i="56"/>
  <c r="AD27" i="56"/>
  <c r="AD26" i="56"/>
  <c r="AD25" i="56"/>
  <c r="AD24" i="56"/>
  <c r="AD23" i="56"/>
  <c r="AD22" i="56"/>
  <c r="AD21" i="56"/>
  <c r="AD20" i="56"/>
  <c r="AD19" i="56"/>
  <c r="AD18" i="56"/>
  <c r="AD17" i="56"/>
  <c r="AD16" i="56"/>
  <c r="AD15" i="56"/>
  <c r="AE15" i="56"/>
  <c r="J18" i="58" l="1"/>
  <c r="I18" i="58"/>
  <c r="J17" i="58"/>
  <c r="I17" i="58"/>
  <c r="L16" i="58"/>
  <c r="K16" i="58"/>
  <c r="J16" i="58"/>
  <c r="I16" i="58"/>
  <c r="J15" i="58"/>
  <c r="I15" i="58"/>
  <c r="J19" i="58" l="1"/>
  <c r="I19" i="58"/>
  <c r="BB75" i="56" l="1"/>
  <c r="AQ75" i="56"/>
  <c r="AL75" i="56"/>
  <c r="AV75" i="56" s="1"/>
  <c r="Y75" i="56"/>
  <c r="O75" i="56"/>
  <c r="L75" i="56"/>
  <c r="J75" i="56"/>
  <c r="H75" i="56"/>
  <c r="BB43" i="56"/>
  <c r="AQ43" i="56"/>
  <c r="AL43" i="56"/>
  <c r="AV43" i="56" s="1"/>
  <c r="Y43" i="56"/>
  <c r="O43" i="56"/>
  <c r="L43" i="56"/>
  <c r="J43" i="56"/>
  <c r="H43" i="56"/>
  <c r="BB42" i="56"/>
  <c r="AQ42" i="56"/>
  <c r="AL42" i="56"/>
  <c r="AM42" i="56" s="1"/>
  <c r="Y42" i="56"/>
  <c r="O42" i="56"/>
  <c r="L42" i="56"/>
  <c r="J42" i="56"/>
  <c r="H42" i="56"/>
  <c r="BB74" i="56"/>
  <c r="AQ74" i="56"/>
  <c r="AL74" i="56"/>
  <c r="AV74" i="56" s="1"/>
  <c r="Y74" i="56"/>
  <c r="O74" i="56"/>
  <c r="L74" i="56"/>
  <c r="J74" i="56"/>
  <c r="H74" i="56"/>
  <c r="AM43" i="56" l="1"/>
  <c r="AR43" i="56" s="1"/>
  <c r="AR42" i="56"/>
  <c r="AM74" i="56"/>
  <c r="AR74" i="56" s="1"/>
  <c r="AM75" i="56"/>
  <c r="AR75" i="56" s="1"/>
  <c r="S75" i="56"/>
  <c r="U75" i="56" s="1"/>
  <c r="W75" i="56" s="1"/>
  <c r="S43" i="56"/>
  <c r="U43" i="56" s="1"/>
  <c r="W43" i="56" s="1"/>
  <c r="AV42" i="56"/>
  <c r="S42" i="56"/>
  <c r="S74" i="56"/>
  <c r="U74" i="56" s="1"/>
  <c r="W74" i="56" s="1"/>
  <c r="Q95" i="56"/>
  <c r="BB154" i="56"/>
  <c r="AQ154" i="56"/>
  <c r="AL154" i="56"/>
  <c r="AM154" i="56" s="1"/>
  <c r="Y154" i="56"/>
  <c r="O154" i="56"/>
  <c r="L154" i="56"/>
  <c r="J154" i="56"/>
  <c r="H154" i="56"/>
  <c r="BB48" i="56"/>
  <c r="AQ48" i="56"/>
  <c r="AL48" i="56"/>
  <c r="AV48" i="56" s="1"/>
  <c r="Y48" i="56"/>
  <c r="O48" i="56"/>
  <c r="L48" i="56"/>
  <c r="J48" i="56"/>
  <c r="H48" i="56"/>
  <c r="AL153" i="56"/>
  <c r="AM153" i="56" s="1"/>
  <c r="AL149" i="56"/>
  <c r="AM149" i="56" s="1"/>
  <c r="AR149" i="56" s="1"/>
  <c r="AL134" i="56"/>
  <c r="AV134" i="56" s="1"/>
  <c r="AL133" i="56"/>
  <c r="AM133" i="56" s="1"/>
  <c r="AL132" i="56"/>
  <c r="AM132" i="56" s="1"/>
  <c r="AL131" i="56"/>
  <c r="AV131" i="56" s="1"/>
  <c r="AL130" i="56"/>
  <c r="AM130" i="56" s="1"/>
  <c r="AL129" i="56"/>
  <c r="AM129" i="56" s="1"/>
  <c r="AL128" i="56"/>
  <c r="AM128" i="56" s="1"/>
  <c r="AL127" i="56"/>
  <c r="AM127" i="56" s="1"/>
  <c r="AL126" i="56"/>
  <c r="AM126" i="56" s="1"/>
  <c r="AL125" i="56"/>
  <c r="AM125" i="56" s="1"/>
  <c r="AL124" i="56"/>
  <c r="AV124" i="56" s="1"/>
  <c r="AL123" i="56"/>
  <c r="AV123" i="56" s="1"/>
  <c r="AL122" i="56"/>
  <c r="AM122" i="56" s="1"/>
  <c r="AL121" i="56"/>
  <c r="AM121" i="56" s="1"/>
  <c r="AL120" i="56"/>
  <c r="AV120" i="56" s="1"/>
  <c r="AL119" i="56"/>
  <c r="AM119" i="56" s="1"/>
  <c r="AL118" i="56"/>
  <c r="AV118" i="56" s="1"/>
  <c r="AL117" i="56"/>
  <c r="AV117" i="56" s="1"/>
  <c r="AL116" i="56"/>
  <c r="AV116" i="56" s="1"/>
  <c r="AL115" i="56"/>
  <c r="AV115" i="56" s="1"/>
  <c r="AL114" i="56"/>
  <c r="AV114" i="56" s="1"/>
  <c r="AL113" i="56"/>
  <c r="AM113" i="56" s="1"/>
  <c r="AL112" i="56"/>
  <c r="AM112" i="56" s="1"/>
  <c r="AL111" i="56"/>
  <c r="AV111" i="56" s="1"/>
  <c r="AL110" i="56"/>
  <c r="AM110" i="56" s="1"/>
  <c r="AL109" i="56"/>
  <c r="AV109" i="56" s="1"/>
  <c r="AL108" i="56"/>
  <c r="AM108" i="56" s="1"/>
  <c r="AL105" i="56"/>
  <c r="AM105" i="56" s="1"/>
  <c r="AL104" i="56"/>
  <c r="AM104" i="56" s="1"/>
  <c r="AL103" i="56"/>
  <c r="AV103" i="56" s="1"/>
  <c r="AL102" i="56"/>
  <c r="AM102" i="56" s="1"/>
  <c r="AL101" i="56"/>
  <c r="AV101" i="56" s="1"/>
  <c r="AL100" i="56"/>
  <c r="AM100" i="56" s="1"/>
  <c r="AL99" i="56"/>
  <c r="AM99" i="56" s="1"/>
  <c r="AL98" i="56"/>
  <c r="AM98" i="56" s="1"/>
  <c r="AL97" i="56"/>
  <c r="AM97" i="56" s="1"/>
  <c r="AL96" i="56"/>
  <c r="AV96" i="56" s="1"/>
  <c r="AL95" i="56"/>
  <c r="AM95" i="56" s="1"/>
  <c r="AL94" i="56"/>
  <c r="AV94" i="56" s="1"/>
  <c r="AL93" i="56"/>
  <c r="AM93" i="56" s="1"/>
  <c r="AL92" i="56"/>
  <c r="AM92" i="56" s="1"/>
  <c r="AL91" i="56"/>
  <c r="AV91" i="56" s="1"/>
  <c r="AL90" i="56"/>
  <c r="AM90" i="56" s="1"/>
  <c r="AL89" i="56"/>
  <c r="AM89" i="56" s="1"/>
  <c r="AL88" i="56"/>
  <c r="AV88" i="56" s="1"/>
  <c r="AL87" i="56"/>
  <c r="AV87" i="56" s="1"/>
  <c r="AL86" i="56"/>
  <c r="AV86" i="56" s="1"/>
  <c r="AL85" i="56"/>
  <c r="AV85" i="56" s="1"/>
  <c r="AL84" i="56"/>
  <c r="AV84" i="56" s="1"/>
  <c r="AL83" i="56"/>
  <c r="AM83" i="56" s="1"/>
  <c r="AL82" i="56"/>
  <c r="AV82" i="56" s="1"/>
  <c r="AL81" i="56"/>
  <c r="AM81" i="56" s="1"/>
  <c r="AL80" i="56"/>
  <c r="AV80" i="56" s="1"/>
  <c r="AL79" i="56"/>
  <c r="AV79" i="56" s="1"/>
  <c r="AL78" i="56"/>
  <c r="AM78" i="56" s="1"/>
  <c r="AL77" i="56"/>
  <c r="AM77" i="56" s="1"/>
  <c r="AL76" i="56"/>
  <c r="AM76" i="56" s="1"/>
  <c r="AL73" i="56"/>
  <c r="AV73" i="56" s="1"/>
  <c r="AL72" i="56"/>
  <c r="AM72" i="56" s="1"/>
  <c r="AL71" i="56"/>
  <c r="AV71" i="56" s="1"/>
  <c r="AL70" i="56"/>
  <c r="AM70" i="56" s="1"/>
  <c r="AL69" i="56"/>
  <c r="AM69" i="56" s="1"/>
  <c r="AL68" i="56"/>
  <c r="AM68" i="56" s="1"/>
  <c r="AL67" i="56"/>
  <c r="AV67" i="56" s="1"/>
  <c r="AL66" i="56"/>
  <c r="AV66" i="56" s="1"/>
  <c r="AL65" i="56"/>
  <c r="AM65" i="56" s="1"/>
  <c r="AL64" i="56"/>
  <c r="AM64" i="56" s="1"/>
  <c r="AL63" i="56"/>
  <c r="AM63" i="56" s="1"/>
  <c r="AL62" i="56"/>
  <c r="AM62" i="56" s="1"/>
  <c r="AL61" i="56"/>
  <c r="AV61" i="56" s="1"/>
  <c r="AL60" i="56"/>
  <c r="AV60" i="56" s="1"/>
  <c r="AL59" i="56"/>
  <c r="AV59" i="56" s="1"/>
  <c r="AL58" i="56"/>
  <c r="AM58" i="56" s="1"/>
  <c r="AL57" i="56"/>
  <c r="AV57" i="56" s="1"/>
  <c r="AL56" i="56"/>
  <c r="AV56" i="56" s="1"/>
  <c r="AL55" i="56"/>
  <c r="AV55" i="56" s="1"/>
  <c r="AL54" i="56"/>
  <c r="AV54" i="56" s="1"/>
  <c r="AL53" i="56"/>
  <c r="AM53" i="56" s="1"/>
  <c r="AL52" i="56"/>
  <c r="AV52" i="56" s="1"/>
  <c r="AL51" i="56"/>
  <c r="AM51" i="56" s="1"/>
  <c r="AL50" i="56"/>
  <c r="AM50" i="56" s="1"/>
  <c r="AL49" i="56"/>
  <c r="AM49" i="56" s="1"/>
  <c r="AL47" i="56"/>
  <c r="AL46" i="56"/>
  <c r="AV46" i="56" s="1"/>
  <c r="AL45" i="56"/>
  <c r="AM45" i="56" s="1"/>
  <c r="AL44" i="56"/>
  <c r="AM44" i="56" s="1"/>
  <c r="AL41" i="56"/>
  <c r="AV41" i="56" s="1"/>
  <c r="AL40" i="56"/>
  <c r="AM40" i="56" s="1"/>
  <c r="AL39" i="56"/>
  <c r="AM39" i="56" s="1"/>
  <c r="AL38" i="56"/>
  <c r="AV38" i="56" s="1"/>
  <c r="AL37" i="56"/>
  <c r="AM37" i="56" s="1"/>
  <c r="AL36" i="56"/>
  <c r="AV36" i="56" s="1"/>
  <c r="AL35" i="56"/>
  <c r="AV35" i="56" s="1"/>
  <c r="AL34" i="56"/>
  <c r="AV34" i="56" s="1"/>
  <c r="AL33" i="56"/>
  <c r="AV33" i="56" s="1"/>
  <c r="AL32" i="56"/>
  <c r="AV32" i="56" s="1"/>
  <c r="AL31" i="56"/>
  <c r="AV31" i="56" s="1"/>
  <c r="AL30" i="56"/>
  <c r="AV30" i="56" s="1"/>
  <c r="AL29" i="56"/>
  <c r="AM29" i="56" s="1"/>
  <c r="AL28" i="56"/>
  <c r="AV28" i="56" s="1"/>
  <c r="AL27" i="56"/>
  <c r="AV27" i="56" s="1"/>
  <c r="AL26" i="56"/>
  <c r="AM26" i="56" s="1"/>
  <c r="AL25" i="56"/>
  <c r="AM25" i="56" s="1"/>
  <c r="AL24" i="56"/>
  <c r="AV24" i="56" s="1"/>
  <c r="AL23" i="56"/>
  <c r="AV23" i="56" s="1"/>
  <c r="AL22" i="56"/>
  <c r="AM22" i="56" s="1"/>
  <c r="AL21" i="56"/>
  <c r="AM21" i="56" s="1"/>
  <c r="AL20" i="56"/>
  <c r="AM20" i="56" s="1"/>
  <c r="AL19" i="56"/>
  <c r="AM19" i="56" s="1"/>
  <c r="AL18" i="56"/>
  <c r="AV18" i="56" s="1"/>
  <c r="AL17" i="56"/>
  <c r="AM17" i="56" s="1"/>
  <c r="AL16" i="56"/>
  <c r="AV16" i="56" s="1"/>
  <c r="AL15" i="56"/>
  <c r="AM15" i="56" s="1"/>
  <c r="BB153" i="56"/>
  <c r="AQ153" i="56"/>
  <c r="Y153" i="56"/>
  <c r="O153" i="56"/>
  <c r="L153" i="56"/>
  <c r="J153" i="56"/>
  <c r="H153" i="56"/>
  <c r="Y103" i="56"/>
  <c r="Y102" i="56"/>
  <c r="G128" i="55"/>
  <c r="G115" i="55"/>
  <c r="G111" i="55"/>
  <c r="G110" i="55"/>
  <c r="G106" i="55"/>
  <c r="G104" i="55"/>
  <c r="G103" i="55"/>
  <c r="G102" i="55"/>
  <c r="G101" i="55"/>
  <c r="G98" i="55"/>
  <c r="G47" i="55"/>
  <c r="G32" i="55"/>
  <c r="G31" i="55"/>
  <c r="G30" i="55"/>
  <c r="G29" i="55"/>
  <c r="BE77" i="56"/>
  <c r="BB83" i="56"/>
  <c r="AQ83" i="56"/>
  <c r="Y83" i="56"/>
  <c r="O83" i="56"/>
  <c r="L83" i="56"/>
  <c r="J83" i="56"/>
  <c r="H83" i="56"/>
  <c r="Y151" i="56"/>
  <c r="O151" i="56"/>
  <c r="L151" i="56"/>
  <c r="J151" i="56"/>
  <c r="H151" i="56"/>
  <c r="Y150" i="56"/>
  <c r="O150" i="56"/>
  <c r="L150" i="56"/>
  <c r="J150" i="56"/>
  <c r="H150" i="56"/>
  <c r="Y149" i="56"/>
  <c r="O149" i="56"/>
  <c r="L149" i="56"/>
  <c r="J149" i="56"/>
  <c r="H149" i="56"/>
  <c r="Y148" i="56"/>
  <c r="O148" i="56"/>
  <c r="L148" i="56"/>
  <c r="J148" i="56"/>
  <c r="H148" i="56"/>
  <c r="BB128" i="56"/>
  <c r="AQ128" i="56"/>
  <c r="Y128" i="56"/>
  <c r="O128" i="56"/>
  <c r="L128" i="56"/>
  <c r="J128" i="56"/>
  <c r="H128" i="56"/>
  <c r="BB127" i="56"/>
  <c r="AQ127" i="56"/>
  <c r="Y127" i="56"/>
  <c r="O127" i="56"/>
  <c r="L127" i="56"/>
  <c r="J127" i="56"/>
  <c r="H127" i="56"/>
  <c r="BB105" i="56"/>
  <c r="AQ105" i="56"/>
  <c r="Y105" i="56"/>
  <c r="O105" i="56"/>
  <c r="L105" i="56"/>
  <c r="J105" i="56"/>
  <c r="H105" i="56"/>
  <c r="BB96" i="56"/>
  <c r="AQ96" i="56"/>
  <c r="Y96" i="56"/>
  <c r="O96" i="56"/>
  <c r="L96" i="56"/>
  <c r="J96" i="56"/>
  <c r="H96" i="56"/>
  <c r="BB80" i="56"/>
  <c r="AQ80" i="56"/>
  <c r="Y80" i="56"/>
  <c r="O80" i="56"/>
  <c r="L80" i="56"/>
  <c r="J80" i="56"/>
  <c r="H80" i="56"/>
  <c r="AQ19" i="56"/>
  <c r="Y19" i="56"/>
  <c r="O19" i="56"/>
  <c r="L19" i="56"/>
  <c r="J19" i="56"/>
  <c r="H19" i="56"/>
  <c r="BB16" i="56"/>
  <c r="AQ16" i="56"/>
  <c r="Y16" i="56"/>
  <c r="O16" i="56"/>
  <c r="L16" i="56"/>
  <c r="J16" i="56"/>
  <c r="H16" i="56"/>
  <c r="BB15" i="56"/>
  <c r="AQ15" i="56"/>
  <c r="Y15" i="56"/>
  <c r="O15" i="56"/>
  <c r="L15" i="56"/>
  <c r="J15" i="56"/>
  <c r="H15" i="56"/>
  <c r="BB93" i="56"/>
  <c r="AQ93" i="56"/>
  <c r="Y93" i="56"/>
  <c r="O93" i="56"/>
  <c r="L93" i="56"/>
  <c r="J93" i="56"/>
  <c r="H93" i="56"/>
  <c r="BB108" i="56"/>
  <c r="AQ108" i="56"/>
  <c r="Y108" i="56"/>
  <c r="O108" i="56"/>
  <c r="L108" i="56"/>
  <c r="J108" i="56"/>
  <c r="H108" i="56"/>
  <c r="Y107" i="56"/>
  <c r="S107" i="56"/>
  <c r="U107" i="56" s="1"/>
  <c r="W107" i="56" s="1"/>
  <c r="X107" i="56" s="1"/>
  <c r="AR106" i="56"/>
  <c r="Y106" i="56"/>
  <c r="S106" i="56"/>
  <c r="U106" i="56" s="1"/>
  <c r="W106" i="56" s="1"/>
  <c r="BB92" i="56"/>
  <c r="AQ92" i="56"/>
  <c r="Y92" i="56"/>
  <c r="O92" i="56"/>
  <c r="L92" i="56"/>
  <c r="J92" i="56"/>
  <c r="H92" i="56"/>
  <c r="BB91" i="56"/>
  <c r="AQ91" i="56"/>
  <c r="Y91" i="56"/>
  <c r="O91" i="56"/>
  <c r="L91" i="56"/>
  <c r="J91" i="56"/>
  <c r="H91" i="56"/>
  <c r="BB104" i="56"/>
  <c r="AQ104" i="56"/>
  <c r="Y104" i="56"/>
  <c r="O104" i="56"/>
  <c r="L104" i="56"/>
  <c r="J104" i="56"/>
  <c r="H104" i="56"/>
  <c r="Y145" i="56"/>
  <c r="O145" i="56"/>
  <c r="L145" i="56"/>
  <c r="J145" i="56"/>
  <c r="H145" i="56"/>
  <c r="Y144" i="56"/>
  <c r="O144" i="56"/>
  <c r="L144" i="56"/>
  <c r="J144" i="56"/>
  <c r="H144" i="56"/>
  <c r="Y143" i="56"/>
  <c r="O143" i="56"/>
  <c r="L143" i="56"/>
  <c r="J143" i="56"/>
  <c r="H143" i="56"/>
  <c r="Y142" i="56"/>
  <c r="O142" i="56"/>
  <c r="L142" i="56"/>
  <c r="J142" i="56"/>
  <c r="H142" i="56"/>
  <c r="Y139" i="56"/>
  <c r="O139" i="56"/>
  <c r="L139" i="56"/>
  <c r="J139" i="56"/>
  <c r="H139" i="56"/>
  <c r="Y138" i="56"/>
  <c r="O138" i="56"/>
  <c r="L138" i="56"/>
  <c r="J138" i="56"/>
  <c r="H138" i="56"/>
  <c r="Y137" i="56"/>
  <c r="O137" i="56"/>
  <c r="L137" i="56"/>
  <c r="J137" i="56"/>
  <c r="H137" i="56"/>
  <c r="Y136" i="56"/>
  <c r="O136" i="56"/>
  <c r="L136" i="56"/>
  <c r="J136" i="56"/>
  <c r="H136" i="56"/>
  <c r="BB126" i="56"/>
  <c r="AQ126" i="56"/>
  <c r="Y126" i="56"/>
  <c r="O126" i="56"/>
  <c r="L126" i="56"/>
  <c r="J126" i="56"/>
  <c r="H126" i="56"/>
  <c r="BB90" i="56"/>
  <c r="AQ90" i="56"/>
  <c r="Y90" i="56"/>
  <c r="O90" i="56"/>
  <c r="L90" i="56"/>
  <c r="J90" i="56"/>
  <c r="H90" i="56"/>
  <c r="BB89" i="56"/>
  <c r="AQ89" i="56"/>
  <c r="Y89" i="56"/>
  <c r="O89" i="56"/>
  <c r="L89" i="56"/>
  <c r="J89" i="56"/>
  <c r="H89" i="56"/>
  <c r="BB24" i="56"/>
  <c r="AQ24" i="56"/>
  <c r="Y24" i="56"/>
  <c r="O24" i="56"/>
  <c r="L24" i="56"/>
  <c r="J24" i="56"/>
  <c r="H24" i="56"/>
  <c r="BB23" i="56"/>
  <c r="AQ23" i="56"/>
  <c r="Y23" i="56"/>
  <c r="O23" i="56"/>
  <c r="L23" i="56"/>
  <c r="J23" i="56"/>
  <c r="H23" i="56"/>
  <c r="BB125" i="56"/>
  <c r="AQ125" i="56"/>
  <c r="Y125" i="56"/>
  <c r="O125" i="56"/>
  <c r="L125" i="56"/>
  <c r="J125" i="56"/>
  <c r="H125" i="56"/>
  <c r="BB76" i="56"/>
  <c r="AQ76" i="56"/>
  <c r="Y76" i="56"/>
  <c r="O76" i="56"/>
  <c r="L76" i="56"/>
  <c r="J76" i="56"/>
  <c r="H76" i="56"/>
  <c r="BB124" i="56"/>
  <c r="AQ124" i="56"/>
  <c r="Y124" i="56"/>
  <c r="O124" i="56"/>
  <c r="L124" i="56"/>
  <c r="J124" i="56"/>
  <c r="H124" i="56"/>
  <c r="BB123" i="56"/>
  <c r="AQ123" i="56"/>
  <c r="Y123" i="56"/>
  <c r="O123" i="56"/>
  <c r="L123" i="56"/>
  <c r="J123" i="56"/>
  <c r="H123" i="56"/>
  <c r="BB122" i="56"/>
  <c r="AQ122" i="56"/>
  <c r="Y122" i="56"/>
  <c r="O122" i="56"/>
  <c r="L122" i="56"/>
  <c r="J122" i="56"/>
  <c r="H122" i="56"/>
  <c r="BB121" i="56"/>
  <c r="AQ121" i="56"/>
  <c r="Y121" i="56"/>
  <c r="O121" i="56"/>
  <c r="L121" i="56"/>
  <c r="J121" i="56"/>
  <c r="H121" i="56"/>
  <c r="BB120" i="56"/>
  <c r="AQ120" i="56"/>
  <c r="Y120" i="56"/>
  <c r="O120" i="56"/>
  <c r="L120" i="56"/>
  <c r="J120" i="56"/>
  <c r="H120" i="56"/>
  <c r="BB119" i="56"/>
  <c r="AQ119" i="56"/>
  <c r="Y119" i="56"/>
  <c r="O119" i="56"/>
  <c r="L119" i="56"/>
  <c r="J119" i="56"/>
  <c r="H119" i="56"/>
  <c r="BB118" i="56"/>
  <c r="AQ118" i="56"/>
  <c r="Y118" i="56"/>
  <c r="O118" i="56"/>
  <c r="L118" i="56"/>
  <c r="J118" i="56"/>
  <c r="H118" i="56"/>
  <c r="BB117" i="56"/>
  <c r="AQ117" i="56"/>
  <c r="Y117" i="56"/>
  <c r="O117" i="56"/>
  <c r="L117" i="56"/>
  <c r="J117" i="56"/>
  <c r="H117" i="56"/>
  <c r="BB116" i="56"/>
  <c r="AQ116" i="56"/>
  <c r="Y116" i="56"/>
  <c r="O116" i="56"/>
  <c r="L116" i="56"/>
  <c r="J116" i="56"/>
  <c r="H116" i="56"/>
  <c r="BB115" i="56"/>
  <c r="AQ115" i="56"/>
  <c r="Y115" i="56"/>
  <c r="O115" i="56"/>
  <c r="L115" i="56"/>
  <c r="J115" i="56"/>
  <c r="H115" i="56"/>
  <c r="BB25" i="56"/>
  <c r="AQ25" i="56"/>
  <c r="Y25" i="56"/>
  <c r="O25" i="56"/>
  <c r="L25" i="56"/>
  <c r="J25" i="56"/>
  <c r="H25" i="56"/>
  <c r="BB73" i="56"/>
  <c r="AQ73" i="56"/>
  <c r="Y73" i="56"/>
  <c r="O73" i="56"/>
  <c r="L73" i="56"/>
  <c r="J73" i="56"/>
  <c r="H73" i="56"/>
  <c r="BB72" i="56"/>
  <c r="AQ72" i="56"/>
  <c r="Y72" i="56"/>
  <c r="O72" i="56"/>
  <c r="L72" i="56"/>
  <c r="J72" i="56"/>
  <c r="H72" i="56"/>
  <c r="BB71" i="56"/>
  <c r="AQ71" i="56"/>
  <c r="Y71" i="56"/>
  <c r="O71" i="56"/>
  <c r="L71" i="56"/>
  <c r="J71" i="56"/>
  <c r="H71" i="56"/>
  <c r="BB70" i="56"/>
  <c r="AQ70" i="56"/>
  <c r="Y70" i="56"/>
  <c r="O70" i="56"/>
  <c r="L70" i="56"/>
  <c r="J70" i="56"/>
  <c r="H70" i="56"/>
  <c r="BB134" i="56"/>
  <c r="AQ134" i="56"/>
  <c r="Y134" i="56"/>
  <c r="O134" i="56"/>
  <c r="L134" i="56"/>
  <c r="J134" i="56"/>
  <c r="H134" i="56"/>
  <c r="BB133" i="56"/>
  <c r="AQ133" i="56"/>
  <c r="Y133" i="56"/>
  <c r="O133" i="56"/>
  <c r="L133" i="56"/>
  <c r="J133" i="56"/>
  <c r="H133" i="56"/>
  <c r="BB132" i="56"/>
  <c r="AQ132" i="56"/>
  <c r="Y132" i="56"/>
  <c r="O132" i="56"/>
  <c r="L132" i="56"/>
  <c r="J132" i="56"/>
  <c r="H132" i="56"/>
  <c r="BB131" i="56"/>
  <c r="AQ131" i="56"/>
  <c r="Y131" i="56"/>
  <c r="O131" i="56"/>
  <c r="L131" i="56"/>
  <c r="J131" i="56"/>
  <c r="H131" i="56"/>
  <c r="BB130" i="56"/>
  <c r="AQ130" i="56"/>
  <c r="Y130" i="56"/>
  <c r="O130" i="56"/>
  <c r="L130" i="56"/>
  <c r="J130" i="56"/>
  <c r="H130" i="56"/>
  <c r="BB129" i="56"/>
  <c r="AQ129" i="56"/>
  <c r="Y129" i="56"/>
  <c r="O129" i="56"/>
  <c r="L129" i="56"/>
  <c r="J129" i="56"/>
  <c r="H129" i="56"/>
  <c r="BB88" i="56"/>
  <c r="AQ88" i="56"/>
  <c r="Y88" i="56"/>
  <c r="O88" i="56"/>
  <c r="L88" i="56"/>
  <c r="J88" i="56"/>
  <c r="H88" i="56"/>
  <c r="BB87" i="56"/>
  <c r="AQ87" i="56"/>
  <c r="Y87" i="56"/>
  <c r="O87" i="56"/>
  <c r="L87" i="56"/>
  <c r="J87" i="56"/>
  <c r="H87" i="56"/>
  <c r="BB86" i="56"/>
  <c r="AQ86" i="56"/>
  <c r="Y86" i="56"/>
  <c r="O86" i="56"/>
  <c r="L86" i="56"/>
  <c r="J86" i="56"/>
  <c r="H86" i="56"/>
  <c r="BB85" i="56"/>
  <c r="AQ85" i="56"/>
  <c r="Y85" i="56"/>
  <c r="O85" i="56"/>
  <c r="L85" i="56"/>
  <c r="J85" i="56"/>
  <c r="H85" i="56"/>
  <c r="BB84" i="56"/>
  <c r="AQ84" i="56"/>
  <c r="Y84" i="56"/>
  <c r="O84" i="56"/>
  <c r="L84" i="56"/>
  <c r="J84" i="56"/>
  <c r="H84" i="56"/>
  <c r="BB103" i="56"/>
  <c r="AQ103" i="56"/>
  <c r="L103" i="56"/>
  <c r="J103" i="56"/>
  <c r="H103" i="56"/>
  <c r="BB102" i="56"/>
  <c r="AQ102" i="56"/>
  <c r="J102" i="56"/>
  <c r="H102" i="56"/>
  <c r="L102" i="56"/>
  <c r="BB114" i="56"/>
  <c r="AQ114" i="56"/>
  <c r="Y114" i="56"/>
  <c r="J114" i="56"/>
  <c r="H114" i="56"/>
  <c r="L114" i="56"/>
  <c r="BB69" i="56"/>
  <c r="AQ69" i="56"/>
  <c r="Y69" i="56"/>
  <c r="J69" i="56"/>
  <c r="H69" i="56"/>
  <c r="L69" i="56"/>
  <c r="BB68" i="56"/>
  <c r="AQ68" i="56"/>
  <c r="Y68" i="56"/>
  <c r="J68" i="56"/>
  <c r="H68" i="56"/>
  <c r="L68" i="56"/>
  <c r="O102" i="56"/>
  <c r="O103" i="56"/>
  <c r="O68" i="56"/>
  <c r="O69" i="56"/>
  <c r="O114" i="56"/>
  <c r="AQ94" i="56"/>
  <c r="BB94" i="56"/>
  <c r="Y94" i="56"/>
  <c r="O94" i="56"/>
  <c r="L94" i="56"/>
  <c r="J94" i="56"/>
  <c r="H94" i="56"/>
  <c r="BB22" i="56"/>
  <c r="AQ22" i="56"/>
  <c r="Y22" i="56"/>
  <c r="O22" i="56"/>
  <c r="L22" i="56"/>
  <c r="J22" i="56"/>
  <c r="H22" i="56"/>
  <c r="BB21" i="56"/>
  <c r="AQ21" i="56"/>
  <c r="Y21" i="56"/>
  <c r="O21" i="56"/>
  <c r="L21" i="56"/>
  <c r="J21" i="56"/>
  <c r="H21" i="56"/>
  <c r="BB20" i="56"/>
  <c r="AQ20" i="56"/>
  <c r="Y20" i="56"/>
  <c r="O20" i="56"/>
  <c r="L20" i="56"/>
  <c r="J20" i="56"/>
  <c r="H20" i="56"/>
  <c r="BB50" i="56"/>
  <c r="AQ50" i="56"/>
  <c r="Y50" i="56"/>
  <c r="O50" i="56"/>
  <c r="L50" i="56"/>
  <c r="J50" i="56"/>
  <c r="H50" i="56"/>
  <c r="Y101" i="56"/>
  <c r="Y82" i="56"/>
  <c r="Y81" i="56"/>
  <c r="Y41" i="56"/>
  <c r="Y18" i="56"/>
  <c r="Y17" i="56"/>
  <c r="Y79" i="56"/>
  <c r="Y78" i="56"/>
  <c r="Y100" i="56"/>
  <c r="Y99" i="56"/>
  <c r="Y98" i="56"/>
  <c r="Y113" i="56"/>
  <c r="Y112" i="56"/>
  <c r="Y111" i="56"/>
  <c r="Y110" i="56"/>
  <c r="Y109" i="56"/>
  <c r="Y95" i="56"/>
  <c r="Y97" i="56"/>
  <c r="Y77" i="56"/>
  <c r="Y67" i="56"/>
  <c r="Y66" i="56"/>
  <c r="Y65" i="56"/>
  <c r="Y64" i="56"/>
  <c r="Y63" i="56"/>
  <c r="Y62" i="56"/>
  <c r="Y61" i="56"/>
  <c r="Y60" i="56"/>
  <c r="Y59" i="56"/>
  <c r="Y58" i="56"/>
  <c r="Y57" i="56"/>
  <c r="Y56" i="56"/>
  <c r="Y55" i="56"/>
  <c r="Y54" i="56"/>
  <c r="Y53" i="56"/>
  <c r="Y52" i="56"/>
  <c r="Y51" i="56"/>
  <c r="Y49" i="56"/>
  <c r="Y47" i="56"/>
  <c r="Y46" i="56"/>
  <c r="Y45" i="56"/>
  <c r="Y44" i="56"/>
  <c r="Y40" i="56"/>
  <c r="Y39" i="56"/>
  <c r="Y38" i="56"/>
  <c r="Y37" i="56"/>
  <c r="Y36" i="56"/>
  <c r="Y35" i="56"/>
  <c r="Y34" i="56"/>
  <c r="Y33" i="56"/>
  <c r="Y32" i="56"/>
  <c r="Y31" i="56"/>
  <c r="Y30" i="56"/>
  <c r="Y29" i="56"/>
  <c r="Y28" i="56"/>
  <c r="Y27" i="56"/>
  <c r="Y26" i="56"/>
  <c r="BB101" i="56"/>
  <c r="AQ101" i="56"/>
  <c r="O101" i="56"/>
  <c r="L101" i="56"/>
  <c r="J101" i="56"/>
  <c r="H101" i="56"/>
  <c r="BB82" i="56"/>
  <c r="AQ82" i="56"/>
  <c r="O82" i="56"/>
  <c r="L82" i="56"/>
  <c r="J82" i="56"/>
  <c r="H82" i="56"/>
  <c r="BB81" i="56"/>
  <c r="AQ81" i="56"/>
  <c r="O81" i="56"/>
  <c r="L81" i="56"/>
  <c r="J81" i="56"/>
  <c r="H81" i="56"/>
  <c r="BB41" i="56"/>
  <c r="AQ41" i="56"/>
  <c r="O41" i="56"/>
  <c r="L41" i="56"/>
  <c r="J41" i="56"/>
  <c r="H41" i="56"/>
  <c r="BB79" i="56"/>
  <c r="AQ79" i="56"/>
  <c r="O79" i="56"/>
  <c r="L79" i="56"/>
  <c r="J79" i="56"/>
  <c r="H79" i="56"/>
  <c r="BB78" i="56"/>
  <c r="AQ78" i="56"/>
  <c r="O78" i="56"/>
  <c r="L78" i="56"/>
  <c r="J78" i="56"/>
  <c r="H78" i="56"/>
  <c r="AQ18" i="56"/>
  <c r="O18" i="56"/>
  <c r="L18" i="56"/>
  <c r="J18" i="56"/>
  <c r="H18" i="56"/>
  <c r="BB17" i="56"/>
  <c r="AQ17" i="56"/>
  <c r="O17" i="56"/>
  <c r="L17" i="56"/>
  <c r="J17" i="56"/>
  <c r="H17" i="56"/>
  <c r="BB113" i="56"/>
  <c r="AQ113" i="56"/>
  <c r="O113" i="56"/>
  <c r="L113" i="56"/>
  <c r="J113" i="56"/>
  <c r="H113" i="56"/>
  <c r="BB112" i="56"/>
  <c r="AQ112" i="56"/>
  <c r="O112" i="56"/>
  <c r="L112" i="56"/>
  <c r="J112" i="56"/>
  <c r="H112" i="56"/>
  <c r="BB111" i="56"/>
  <c r="AQ111" i="56"/>
  <c r="O111" i="56"/>
  <c r="L111" i="56"/>
  <c r="J111" i="56"/>
  <c r="H111" i="56"/>
  <c r="BB100" i="56"/>
  <c r="AQ100" i="56"/>
  <c r="O100" i="56"/>
  <c r="L100" i="56"/>
  <c r="J100" i="56"/>
  <c r="H100" i="56"/>
  <c r="BB99" i="56"/>
  <c r="AQ99" i="56"/>
  <c r="O99" i="56"/>
  <c r="L99" i="56"/>
  <c r="J99" i="56"/>
  <c r="H99" i="56"/>
  <c r="BB98" i="56"/>
  <c r="AQ98" i="56"/>
  <c r="O98" i="56"/>
  <c r="L98" i="56"/>
  <c r="J98" i="56"/>
  <c r="H98" i="56"/>
  <c r="BB110" i="56"/>
  <c r="AQ110" i="56"/>
  <c r="O110" i="56"/>
  <c r="L110" i="56"/>
  <c r="J110" i="56"/>
  <c r="H110" i="56"/>
  <c r="BB109" i="56"/>
  <c r="AQ109" i="56"/>
  <c r="O109" i="56"/>
  <c r="L109" i="56"/>
  <c r="J109" i="56"/>
  <c r="H109" i="56"/>
  <c r="AQ95" i="56"/>
  <c r="AQ97" i="56"/>
  <c r="AQ77" i="56"/>
  <c r="AQ67" i="56"/>
  <c r="AQ66" i="56"/>
  <c r="AQ65" i="56"/>
  <c r="AQ64" i="56"/>
  <c r="AQ63" i="56"/>
  <c r="AQ62" i="56"/>
  <c r="AQ61" i="56"/>
  <c r="AQ60" i="56"/>
  <c r="AQ59" i="56"/>
  <c r="AQ58" i="56"/>
  <c r="AQ57" i="56"/>
  <c r="AQ56" i="56"/>
  <c r="AQ55" i="56"/>
  <c r="AQ54" i="56"/>
  <c r="AQ53" i="56"/>
  <c r="AQ52" i="56"/>
  <c r="AQ51" i="56"/>
  <c r="AQ49" i="56"/>
  <c r="AQ47" i="56"/>
  <c r="AQ46" i="56"/>
  <c r="AQ45" i="56"/>
  <c r="AQ44" i="56"/>
  <c r="AQ40" i="56"/>
  <c r="AQ39" i="56"/>
  <c r="AQ38" i="56"/>
  <c r="AQ37" i="56"/>
  <c r="AQ36" i="56"/>
  <c r="AQ35" i="56"/>
  <c r="AQ34" i="56"/>
  <c r="AQ33" i="56"/>
  <c r="AQ32" i="56"/>
  <c r="AQ31" i="56"/>
  <c r="AQ30" i="56"/>
  <c r="AQ29" i="56"/>
  <c r="AQ28" i="56"/>
  <c r="AQ27" i="56"/>
  <c r="AQ26" i="56"/>
  <c r="H26" i="56"/>
  <c r="J26" i="56"/>
  <c r="L26" i="56"/>
  <c r="O26" i="56"/>
  <c r="BB26" i="56"/>
  <c r="H27" i="56"/>
  <c r="J27" i="56"/>
  <c r="L27" i="56"/>
  <c r="O27" i="56"/>
  <c r="BB27" i="56"/>
  <c r="H28" i="56"/>
  <c r="J28" i="56"/>
  <c r="L28" i="56"/>
  <c r="O28" i="56"/>
  <c r="BB28" i="56"/>
  <c r="H29" i="56"/>
  <c r="J29" i="56"/>
  <c r="L29" i="56"/>
  <c r="O29" i="56"/>
  <c r="BB29" i="56"/>
  <c r="H30" i="56"/>
  <c r="J30" i="56"/>
  <c r="L30" i="56"/>
  <c r="O30" i="56"/>
  <c r="BB30" i="56"/>
  <c r="H31" i="56"/>
  <c r="J31" i="56"/>
  <c r="L31" i="56"/>
  <c r="O31" i="56"/>
  <c r="BB31" i="56"/>
  <c r="H32" i="56"/>
  <c r="J32" i="56"/>
  <c r="L32" i="56"/>
  <c r="O32" i="56"/>
  <c r="BB32" i="56"/>
  <c r="H33" i="56"/>
  <c r="J33" i="56"/>
  <c r="L33" i="56"/>
  <c r="O33" i="56"/>
  <c r="BB33" i="56"/>
  <c r="H34" i="56"/>
  <c r="J34" i="56"/>
  <c r="L34" i="56"/>
  <c r="O34" i="56"/>
  <c r="BB34" i="56"/>
  <c r="H35" i="56"/>
  <c r="J35" i="56"/>
  <c r="L35" i="56"/>
  <c r="O35" i="56"/>
  <c r="BB35" i="56"/>
  <c r="H36" i="56"/>
  <c r="J36" i="56"/>
  <c r="L36" i="56"/>
  <c r="O36" i="56"/>
  <c r="BB36" i="56"/>
  <c r="H37" i="56"/>
  <c r="J37" i="56"/>
  <c r="L37" i="56"/>
  <c r="O37" i="56"/>
  <c r="BB37" i="56"/>
  <c r="H38" i="56"/>
  <c r="J38" i="56"/>
  <c r="L38" i="56"/>
  <c r="O38" i="56"/>
  <c r="BB38" i="56"/>
  <c r="H39" i="56"/>
  <c r="J39" i="56"/>
  <c r="L39" i="56"/>
  <c r="O39" i="56"/>
  <c r="BB39" i="56"/>
  <c r="H40" i="56"/>
  <c r="J40" i="56"/>
  <c r="L40" i="56"/>
  <c r="O40" i="56"/>
  <c r="BB40" i="56"/>
  <c r="H44" i="56"/>
  <c r="J44" i="56"/>
  <c r="L44" i="56"/>
  <c r="O44" i="56"/>
  <c r="BB44" i="56"/>
  <c r="H45" i="56"/>
  <c r="J45" i="56"/>
  <c r="L45" i="56"/>
  <c r="O45" i="56"/>
  <c r="BB45" i="56"/>
  <c r="H46" i="56"/>
  <c r="J46" i="56"/>
  <c r="L46" i="56"/>
  <c r="O46" i="56"/>
  <c r="BB46" i="56"/>
  <c r="H47" i="56"/>
  <c r="J47" i="56"/>
  <c r="L47" i="56"/>
  <c r="O47" i="56"/>
  <c r="BB47" i="56"/>
  <c r="H49" i="56"/>
  <c r="J49" i="56"/>
  <c r="L49" i="56"/>
  <c r="O49" i="56"/>
  <c r="BB49" i="56"/>
  <c r="H51" i="56"/>
  <c r="J51" i="56"/>
  <c r="L51" i="56"/>
  <c r="O51" i="56"/>
  <c r="BB51" i="56"/>
  <c r="H52" i="56"/>
  <c r="J52" i="56"/>
  <c r="L52" i="56"/>
  <c r="O52" i="56"/>
  <c r="BB52" i="56"/>
  <c r="H53" i="56"/>
  <c r="J53" i="56"/>
  <c r="L53" i="56"/>
  <c r="O53" i="56"/>
  <c r="BB53" i="56"/>
  <c r="H54" i="56"/>
  <c r="J54" i="56"/>
  <c r="L54" i="56"/>
  <c r="O54" i="56"/>
  <c r="BB54" i="56"/>
  <c r="H55" i="56"/>
  <c r="J55" i="56"/>
  <c r="L55" i="56"/>
  <c r="O55" i="56"/>
  <c r="BB55" i="56"/>
  <c r="H56" i="56"/>
  <c r="J56" i="56"/>
  <c r="L56" i="56"/>
  <c r="O56" i="56"/>
  <c r="BB56" i="56"/>
  <c r="H57" i="56"/>
  <c r="J57" i="56"/>
  <c r="L57" i="56"/>
  <c r="O57" i="56"/>
  <c r="BB57" i="56"/>
  <c r="H58" i="56"/>
  <c r="J58" i="56"/>
  <c r="L58" i="56"/>
  <c r="O58" i="56"/>
  <c r="BB58" i="56"/>
  <c r="H59" i="56"/>
  <c r="J59" i="56"/>
  <c r="L59" i="56"/>
  <c r="O59" i="56"/>
  <c r="BB59" i="56"/>
  <c r="H60" i="56"/>
  <c r="J60" i="56"/>
  <c r="L60" i="56"/>
  <c r="O60" i="56"/>
  <c r="BB60" i="56"/>
  <c r="H61" i="56"/>
  <c r="J61" i="56"/>
  <c r="L61" i="56"/>
  <c r="O61" i="56"/>
  <c r="BB61" i="56"/>
  <c r="H62" i="56"/>
  <c r="J62" i="56"/>
  <c r="L62" i="56"/>
  <c r="O62" i="56"/>
  <c r="BB62" i="56"/>
  <c r="H63" i="56"/>
  <c r="J63" i="56"/>
  <c r="L63" i="56"/>
  <c r="O63" i="56"/>
  <c r="BB63" i="56"/>
  <c r="H64" i="56"/>
  <c r="J64" i="56"/>
  <c r="L64" i="56"/>
  <c r="O64" i="56"/>
  <c r="BB64" i="56"/>
  <c r="H65" i="56"/>
  <c r="J65" i="56"/>
  <c r="L65" i="56"/>
  <c r="O65" i="56"/>
  <c r="BB65" i="56"/>
  <c r="H66" i="56"/>
  <c r="J66" i="56"/>
  <c r="L66" i="56"/>
  <c r="O66" i="56"/>
  <c r="BB66" i="56"/>
  <c r="H67" i="56"/>
  <c r="J67" i="56"/>
  <c r="L67" i="56"/>
  <c r="O67" i="56"/>
  <c r="BB67" i="56"/>
  <c r="H77" i="56"/>
  <c r="J77" i="56"/>
  <c r="L77" i="56"/>
  <c r="O77" i="56"/>
  <c r="BB77" i="56"/>
  <c r="H97" i="56"/>
  <c r="J97" i="56"/>
  <c r="L97" i="56"/>
  <c r="O97" i="56"/>
  <c r="BB97" i="56"/>
  <c r="H95" i="56"/>
  <c r="J95" i="56"/>
  <c r="L95" i="56"/>
  <c r="O95" i="56"/>
  <c r="BB95" i="56"/>
  <c r="AL137" i="56"/>
  <c r="AV137" i="56" s="1"/>
  <c r="AL143" i="56"/>
  <c r="AV143" i="56" s="1"/>
  <c r="AL136" i="56"/>
  <c r="AM136" i="56" s="1"/>
  <c r="AR136" i="56" s="1"/>
  <c r="AL142" i="56"/>
  <c r="AV142" i="56" s="1"/>
  <c r="AV44" i="56"/>
  <c r="AL148" i="56"/>
  <c r="AM148" i="56" s="1"/>
  <c r="AR148" i="56" s="1"/>
  <c r="AV40" i="56"/>
  <c r="AV45" i="56"/>
  <c r="AV20" i="56"/>
  <c r="AV98" i="56"/>
  <c r="AM131" i="56"/>
  <c r="AM24" i="56"/>
  <c r="AM32" i="56"/>
  <c r="AM71" i="56"/>
  <c r="AV17" i="56"/>
  <c r="AV102" i="56"/>
  <c r="AM47" i="56"/>
  <c r="AV47" i="56"/>
  <c r="AM142" i="56"/>
  <c r="AR142" i="56" s="1"/>
  <c r="AM124" i="56"/>
  <c r="AM60" i="56"/>
  <c r="AV62" i="56"/>
  <c r="AV78" i="56"/>
  <c r="AM116" i="56"/>
  <c r="AM57" i="56" l="1"/>
  <c r="AV49" i="56"/>
  <c r="AR51" i="56"/>
  <c r="AR63" i="56"/>
  <c r="AM61" i="56"/>
  <c r="AV129" i="56"/>
  <c r="AV121" i="56"/>
  <c r="AM54" i="56"/>
  <c r="AR54" i="56" s="1"/>
  <c r="AV99" i="56"/>
  <c r="AV125" i="56"/>
  <c r="AV69" i="56"/>
  <c r="AM73" i="56"/>
  <c r="AR73" i="56" s="1"/>
  <c r="AR131" i="56"/>
  <c r="AM36" i="56"/>
  <c r="AR36" i="56" s="1"/>
  <c r="AR61" i="56"/>
  <c r="S139" i="56"/>
  <c r="U139" i="56" s="1"/>
  <c r="W139" i="56" s="1"/>
  <c r="AR37" i="56"/>
  <c r="AR47" i="56"/>
  <c r="S24" i="56"/>
  <c r="S93" i="56"/>
  <c r="U93" i="56" s="1"/>
  <c r="W93" i="56" s="1"/>
  <c r="AV51" i="56"/>
  <c r="AM34" i="56"/>
  <c r="AR34" i="56" s="1"/>
  <c r="AV81" i="56"/>
  <c r="AV19" i="56"/>
  <c r="AV148" i="56"/>
  <c r="AM123" i="56"/>
  <c r="AR123" i="56" s="1"/>
  <c r="AV127" i="56"/>
  <c r="AV154" i="56"/>
  <c r="AR57" i="56"/>
  <c r="AV22" i="56"/>
  <c r="AM38" i="56"/>
  <c r="AR38" i="56" s="1"/>
  <c r="AM67" i="56"/>
  <c r="AR67" i="56" s="1"/>
  <c r="AV26" i="56"/>
  <c r="AV70" i="56"/>
  <c r="AM134" i="56"/>
  <c r="AR134" i="56" s="1"/>
  <c r="AV92" i="56"/>
  <c r="AR124" i="56"/>
  <c r="AM114" i="56"/>
  <c r="AR114" i="56" s="1"/>
  <c r="AV110" i="56"/>
  <c r="AR112" i="56"/>
  <c r="AM80" i="56"/>
  <c r="AR80" i="56" s="1"/>
  <c r="AV126" i="56"/>
  <c r="S129" i="56"/>
  <c r="S122" i="56"/>
  <c r="U122" i="56" s="1"/>
  <c r="W122" i="56" s="1"/>
  <c r="X122" i="56" s="1"/>
  <c r="AA122" i="56" s="1"/>
  <c r="S125" i="56"/>
  <c r="U125" i="56" s="1"/>
  <c r="W125" i="56" s="1"/>
  <c r="AV112" i="56"/>
  <c r="AV130" i="56"/>
  <c r="AV72" i="56"/>
  <c r="AV63" i="56"/>
  <c r="AM88" i="56"/>
  <c r="AR88" i="56" s="1"/>
  <c r="AV29" i="56"/>
  <c r="AM94" i="56"/>
  <c r="AR94" i="56" s="1"/>
  <c r="AV64" i="56"/>
  <c r="AM66" i="56"/>
  <c r="AR66" i="56" s="1"/>
  <c r="AR95" i="56"/>
  <c r="AR129" i="56"/>
  <c r="S60" i="56"/>
  <c r="U60" i="56" s="1"/>
  <c r="W60" i="56" s="1"/>
  <c r="S52" i="56"/>
  <c r="U52" i="56" s="1"/>
  <c r="W52" i="56" s="1"/>
  <c r="S46" i="56"/>
  <c r="U46" i="56" s="1"/>
  <c r="W46" i="56" s="1"/>
  <c r="S109" i="56"/>
  <c r="U109" i="56" s="1"/>
  <c r="W109" i="56" s="1"/>
  <c r="X109" i="56" s="1"/>
  <c r="S15" i="56"/>
  <c r="U15" i="56" s="1"/>
  <c r="W15" i="56" s="1"/>
  <c r="AM33" i="56"/>
  <c r="AR33" i="56" s="1"/>
  <c r="AV90" i="56"/>
  <c r="AV132" i="56"/>
  <c r="AM118" i="56"/>
  <c r="AR118" i="56" s="1"/>
  <c r="AM27" i="56"/>
  <c r="AR27" i="56" s="1"/>
  <c r="AM55" i="56"/>
  <c r="AR55" i="56" s="1"/>
  <c r="AM18" i="56"/>
  <c r="AR18" i="56" s="1"/>
  <c r="AV39" i="56"/>
  <c r="AM48" i="56"/>
  <c r="AR48" i="56" s="1"/>
  <c r="AM86" i="56"/>
  <c r="AR86" i="56" s="1"/>
  <c r="AV122" i="56"/>
  <c r="AR127" i="56"/>
  <c r="S142" i="56"/>
  <c r="U142" i="56" s="1"/>
  <c r="W142" i="56" s="1"/>
  <c r="S127" i="56"/>
  <c r="U127" i="56" s="1"/>
  <c r="W127" i="56" s="1"/>
  <c r="X127" i="56" s="1"/>
  <c r="AV37" i="56"/>
  <c r="AR32" i="56"/>
  <c r="AV53" i="56"/>
  <c r="AM79" i="56"/>
  <c r="AR79" i="56" s="1"/>
  <c r="AM85" i="56"/>
  <c r="AR85" i="56" s="1"/>
  <c r="AM109" i="56"/>
  <c r="AR109" i="56" s="1"/>
  <c r="AV153" i="56"/>
  <c r="AR76" i="56"/>
  <c r="AR132" i="56"/>
  <c r="AR154" i="56"/>
  <c r="S63" i="56"/>
  <c r="S55" i="56"/>
  <c r="U55" i="56" s="1"/>
  <c r="W55" i="56" s="1"/>
  <c r="AR44" i="56"/>
  <c r="AR97" i="56"/>
  <c r="AV97" i="56"/>
  <c r="AR60" i="56"/>
  <c r="AV149" i="56"/>
  <c r="AM31" i="56"/>
  <c r="AR31" i="56" s="1"/>
  <c r="AV133" i="56"/>
  <c r="S65" i="56"/>
  <c r="U65" i="56" s="1"/>
  <c r="W65" i="56" s="1"/>
  <c r="X65" i="56" s="1"/>
  <c r="AR62" i="56"/>
  <c r="AR78" i="56"/>
  <c r="AR90" i="56"/>
  <c r="AR102" i="56"/>
  <c r="AR108" i="56"/>
  <c r="AR130" i="56"/>
  <c r="AR105" i="56"/>
  <c r="AV113" i="56"/>
  <c r="AM52" i="56"/>
  <c r="AR52" i="56" s="1"/>
  <c r="AM111" i="56"/>
  <c r="AR111" i="56" s="1"/>
  <c r="AV136" i="56"/>
  <c r="AM82" i="56"/>
  <c r="AR82" i="56" s="1"/>
  <c r="AR71" i="56"/>
  <c r="AR81" i="56"/>
  <c r="AV93" i="56"/>
  <c r="AM137" i="56"/>
  <c r="AR137" i="56" s="1"/>
  <c r="AV100" i="56"/>
  <c r="AV105" i="56"/>
  <c r="S117" i="56"/>
  <c r="U117" i="56" s="1"/>
  <c r="W117" i="56" s="1"/>
  <c r="S136" i="56"/>
  <c r="U136" i="56" s="1"/>
  <c r="W136" i="56" s="1"/>
  <c r="S145" i="56"/>
  <c r="U145" i="56" s="1"/>
  <c r="W145" i="56" s="1"/>
  <c r="S149" i="56"/>
  <c r="U149" i="56" s="1"/>
  <c r="W149" i="56" s="1"/>
  <c r="AM103" i="56"/>
  <c r="AR103" i="56" s="1"/>
  <c r="AV108" i="56"/>
  <c r="AR122" i="56"/>
  <c r="AR133" i="56"/>
  <c r="AR15" i="56"/>
  <c r="AR65" i="56"/>
  <c r="AR116" i="56"/>
  <c r="AM56" i="56"/>
  <c r="AR56" i="56" s="1"/>
  <c r="AM41" i="56"/>
  <c r="AR41" i="56" s="1"/>
  <c r="AM91" i="56"/>
  <c r="AR91" i="56" s="1"/>
  <c r="AR24" i="56"/>
  <c r="AM46" i="56"/>
  <c r="AR46" i="56" s="1"/>
  <c r="AV65" i="56"/>
  <c r="AM143" i="56"/>
  <c r="AR143" i="56" s="1"/>
  <c r="S66" i="56"/>
  <c r="U66" i="56" s="1"/>
  <c r="W66" i="56" s="1"/>
  <c r="X66" i="56" s="1"/>
  <c r="S54" i="56"/>
  <c r="U54" i="56" s="1"/>
  <c r="W54" i="56" s="1"/>
  <c r="AR22" i="56"/>
  <c r="AR98" i="56"/>
  <c r="X75" i="56"/>
  <c r="X43" i="56"/>
  <c r="U42" i="56"/>
  <c r="W42" i="56" s="1"/>
  <c r="X74" i="56"/>
  <c r="AR20" i="56"/>
  <c r="AR26" i="56"/>
  <c r="AR64" i="56"/>
  <c r="AR69" i="56"/>
  <c r="AR72" i="56"/>
  <c r="AR77" i="56"/>
  <c r="AR83" i="56"/>
  <c r="AR100" i="56"/>
  <c r="AR126" i="56"/>
  <c r="AR153" i="56"/>
  <c r="S98" i="56"/>
  <c r="U98" i="56" s="1"/>
  <c r="W98" i="56" s="1"/>
  <c r="S100" i="56"/>
  <c r="U100" i="56" s="1"/>
  <c r="W100" i="56" s="1"/>
  <c r="S113" i="56"/>
  <c r="U113" i="56" s="1"/>
  <c r="W113" i="56" s="1"/>
  <c r="S78" i="56"/>
  <c r="U78" i="56" s="1"/>
  <c r="W78" i="56" s="1"/>
  <c r="S50" i="56"/>
  <c r="U50" i="56" s="1"/>
  <c r="W50" i="56" s="1"/>
  <c r="S94" i="56"/>
  <c r="U94" i="56" s="1"/>
  <c r="W94" i="56" s="1"/>
  <c r="S85" i="56"/>
  <c r="U85" i="56" s="1"/>
  <c r="W85" i="56" s="1"/>
  <c r="S86" i="56"/>
  <c r="U86" i="56" s="1"/>
  <c r="W86" i="56" s="1"/>
  <c r="AR17" i="56"/>
  <c r="AR39" i="56"/>
  <c r="AR49" i="56"/>
  <c r="AR110" i="56"/>
  <c r="AR113" i="56"/>
  <c r="AR121" i="56"/>
  <c r="S67" i="56"/>
  <c r="U67" i="56" s="1"/>
  <c r="W67" i="56" s="1"/>
  <c r="X67" i="56" s="1"/>
  <c r="S57" i="56"/>
  <c r="U57" i="56" s="1"/>
  <c r="W57" i="56" s="1"/>
  <c r="X57" i="56" s="1"/>
  <c r="S70" i="56"/>
  <c r="U70" i="56" s="1"/>
  <c r="W70" i="56" s="1"/>
  <c r="X70" i="56" s="1"/>
  <c r="S90" i="56"/>
  <c r="U90" i="56" s="1"/>
  <c r="S126" i="56"/>
  <c r="U126" i="56" s="1"/>
  <c r="W126" i="56" s="1"/>
  <c r="X126" i="56" s="1"/>
  <c r="S137" i="56"/>
  <c r="U137" i="56" s="1"/>
  <c r="W137" i="56" s="1"/>
  <c r="S138" i="56"/>
  <c r="U138" i="56" s="1"/>
  <c r="W138" i="56" s="1"/>
  <c r="S92" i="56"/>
  <c r="U92" i="56" s="1"/>
  <c r="W92" i="56" s="1"/>
  <c r="S151" i="56"/>
  <c r="U151" i="56" s="1"/>
  <c r="W151" i="56" s="1"/>
  <c r="AR21" i="56"/>
  <c r="AR40" i="56"/>
  <c r="AR45" i="56"/>
  <c r="AR50" i="56"/>
  <c r="AR53" i="56"/>
  <c r="AR70" i="56"/>
  <c r="AR89" i="56"/>
  <c r="AR92" i="56"/>
  <c r="AR104" i="56"/>
  <c r="AR128" i="56"/>
  <c r="S53" i="56"/>
  <c r="S37" i="56"/>
  <c r="S32" i="56"/>
  <c r="U32" i="56" s="1"/>
  <c r="W32" i="56" s="1"/>
  <c r="S30" i="56"/>
  <c r="U30" i="56" s="1"/>
  <c r="W30" i="56" s="1"/>
  <c r="S29" i="56"/>
  <c r="U29" i="56" s="1"/>
  <c r="W29" i="56" s="1"/>
  <c r="S17" i="56"/>
  <c r="U17" i="56" s="1"/>
  <c r="W17" i="56" s="1"/>
  <c r="S79" i="56"/>
  <c r="U79" i="56" s="1"/>
  <c r="W79" i="56" s="1"/>
  <c r="S69" i="56"/>
  <c r="S119" i="56"/>
  <c r="U119" i="56" s="1"/>
  <c r="W119" i="56" s="1"/>
  <c r="S16" i="56"/>
  <c r="U16" i="56" s="1"/>
  <c r="W16" i="56" s="1"/>
  <c r="X16" i="56" s="1"/>
  <c r="AR19" i="56"/>
  <c r="AR25" i="56"/>
  <c r="AR29" i="56"/>
  <c r="AR58" i="56"/>
  <c r="AR68" i="56"/>
  <c r="AR93" i="56"/>
  <c r="AR99" i="56"/>
  <c r="AR119" i="56"/>
  <c r="AR125" i="56"/>
  <c r="S154" i="56"/>
  <c r="Z107" i="56"/>
  <c r="AA107" i="56"/>
  <c r="S64" i="56"/>
  <c r="U64" i="56" s="1"/>
  <c r="W64" i="56" s="1"/>
  <c r="S58" i="56"/>
  <c r="U58" i="56" s="1"/>
  <c r="W58" i="56" s="1"/>
  <c r="S36" i="56"/>
  <c r="U36" i="56" s="1"/>
  <c r="S110" i="56"/>
  <c r="U110" i="56" s="1"/>
  <c r="W110" i="56" s="1"/>
  <c r="S99" i="56"/>
  <c r="U99" i="56" s="1"/>
  <c r="W99" i="56" s="1"/>
  <c r="S72" i="56"/>
  <c r="U72" i="56" s="1"/>
  <c r="W72" i="56" s="1"/>
  <c r="S73" i="56"/>
  <c r="S115" i="56"/>
  <c r="U115" i="56" s="1"/>
  <c r="W115" i="56" s="1"/>
  <c r="S118" i="56"/>
  <c r="U118" i="56" s="1"/>
  <c r="W118" i="56" s="1"/>
  <c r="S120" i="56"/>
  <c r="U120" i="56" s="1"/>
  <c r="W120" i="56" s="1"/>
  <c r="S19" i="56"/>
  <c r="U19" i="56" s="1"/>
  <c r="W19" i="56" s="1"/>
  <c r="S148" i="56"/>
  <c r="U148" i="56" s="1"/>
  <c r="W148" i="56" s="1"/>
  <c r="AM23" i="56"/>
  <c r="AR23" i="56" s="1"/>
  <c r="AV58" i="56"/>
  <c r="X106" i="56"/>
  <c r="AM101" i="56"/>
  <c r="AR101" i="56" s="1"/>
  <c r="AM96" i="56"/>
  <c r="AR96" i="56" s="1"/>
  <c r="AM115" i="56"/>
  <c r="AR115" i="56" s="1"/>
  <c r="AV68" i="56"/>
  <c r="AM35" i="56"/>
  <c r="AR35" i="56" s="1"/>
  <c r="AV21" i="56"/>
  <c r="AM28" i="56"/>
  <c r="AR28" i="56" s="1"/>
  <c r="AV50" i="56"/>
  <c r="AM84" i="56"/>
  <c r="AR84" i="56" s="1"/>
  <c r="AV119" i="56"/>
  <c r="AM87" i="56"/>
  <c r="AR87" i="56" s="1"/>
  <c r="AM59" i="56"/>
  <c r="AR59" i="56" s="1"/>
  <c r="AV83" i="56"/>
  <c r="AM30" i="56"/>
  <c r="AR30" i="56" s="1"/>
  <c r="AM16" i="56"/>
  <c r="AR16" i="56" s="1"/>
  <c r="S95" i="56"/>
  <c r="U95" i="56" s="1"/>
  <c r="W95" i="56" s="1"/>
  <c r="S61" i="56"/>
  <c r="U61" i="56" s="1"/>
  <c r="W61" i="56" s="1"/>
  <c r="S133" i="56"/>
  <c r="U133" i="56" s="1"/>
  <c r="W133" i="56" s="1"/>
  <c r="S144" i="56"/>
  <c r="U144" i="56" s="1"/>
  <c r="W144" i="56" s="1"/>
  <c r="AV89" i="56"/>
  <c r="AM117" i="56"/>
  <c r="AR117" i="56" s="1"/>
  <c r="S68" i="56"/>
  <c r="U68" i="56" s="1"/>
  <c r="W68" i="56" s="1"/>
  <c r="U129" i="56"/>
  <c r="W129" i="56" s="1"/>
  <c r="AV104" i="56"/>
  <c r="AV128" i="56"/>
  <c r="AV25" i="56"/>
  <c r="AM120" i="56"/>
  <c r="AR120" i="56" s="1"/>
  <c r="U63" i="56"/>
  <c r="W63" i="56" s="1"/>
  <c r="S49" i="56"/>
  <c r="U49" i="56" s="1"/>
  <c r="W49" i="56" s="1"/>
  <c r="S39" i="56"/>
  <c r="U39" i="56" s="1"/>
  <c r="S35" i="56"/>
  <c r="U35" i="56" s="1"/>
  <c r="W35" i="56" s="1"/>
  <c r="S27" i="56"/>
  <c r="U27" i="56" s="1"/>
  <c r="W27" i="56" s="1"/>
  <c r="S81" i="56"/>
  <c r="S101" i="56"/>
  <c r="U101" i="56" s="1"/>
  <c r="W101" i="56" s="1"/>
  <c r="S20" i="56"/>
  <c r="U20" i="56" s="1"/>
  <c r="W20" i="56" s="1"/>
  <c r="S84" i="56"/>
  <c r="U84" i="56" s="1"/>
  <c r="W84" i="56" s="1"/>
  <c r="S71" i="56"/>
  <c r="S123" i="56"/>
  <c r="U123" i="56" s="1"/>
  <c r="U24" i="56"/>
  <c r="W24" i="56" s="1"/>
  <c r="S143" i="56"/>
  <c r="U143" i="56" s="1"/>
  <c r="W143" i="56" s="1"/>
  <c r="S96" i="56"/>
  <c r="U96" i="56" s="1"/>
  <c r="W96" i="56" s="1"/>
  <c r="S48" i="56"/>
  <c r="U48" i="56" s="1"/>
  <c r="W48" i="56" s="1"/>
  <c r="S153" i="56"/>
  <c r="S150" i="56"/>
  <c r="U150" i="56" s="1"/>
  <c r="W150" i="56" s="1"/>
  <c r="S134" i="56"/>
  <c r="S132" i="56"/>
  <c r="U132" i="56" s="1"/>
  <c r="W132" i="56" s="1"/>
  <c r="S131" i="56"/>
  <c r="U131" i="56" s="1"/>
  <c r="W131" i="56" s="1"/>
  <c r="S130" i="56"/>
  <c r="U130" i="56" s="1"/>
  <c r="W130" i="56" s="1"/>
  <c r="S128" i="56"/>
  <c r="U128" i="56" s="1"/>
  <c r="W128" i="56" s="1"/>
  <c r="S124" i="56"/>
  <c r="U124" i="56" s="1"/>
  <c r="W124" i="56" s="1"/>
  <c r="S121" i="56"/>
  <c r="U121" i="56" s="1"/>
  <c r="W121" i="56" s="1"/>
  <c r="S116" i="56"/>
  <c r="U116" i="56" s="1"/>
  <c r="S114" i="56"/>
  <c r="U114" i="56" s="1"/>
  <c r="W114" i="56" s="1"/>
  <c r="S112" i="56"/>
  <c r="U112" i="56" s="1"/>
  <c r="W112" i="56" s="1"/>
  <c r="S111" i="56"/>
  <c r="U111" i="56" s="1"/>
  <c r="W111" i="56" s="1"/>
  <c r="S108" i="56"/>
  <c r="U108" i="56" s="1"/>
  <c r="W108" i="56" s="1"/>
  <c r="S105" i="56"/>
  <c r="U105" i="56" s="1"/>
  <c r="W105" i="56" s="1"/>
  <c r="S104" i="56"/>
  <c r="U104" i="56" s="1"/>
  <c r="W104" i="56" s="1"/>
  <c r="S103" i="56"/>
  <c r="U103" i="56" s="1"/>
  <c r="W103" i="56" s="1"/>
  <c r="S102" i="56"/>
  <c r="U102" i="56" s="1"/>
  <c r="W102" i="56" s="1"/>
  <c r="S97" i="56"/>
  <c r="U97" i="56" s="1"/>
  <c r="W97" i="56" s="1"/>
  <c r="S91" i="56"/>
  <c r="U91" i="56" s="1"/>
  <c r="W91" i="56" s="1"/>
  <c r="S89" i="56"/>
  <c r="U89" i="56" s="1"/>
  <c r="W89" i="56" s="1"/>
  <c r="S88" i="56"/>
  <c r="U88" i="56" s="1"/>
  <c r="W88" i="56" s="1"/>
  <c r="S87" i="56"/>
  <c r="U87" i="56" s="1"/>
  <c r="W87" i="56" s="1"/>
  <c r="S83" i="56"/>
  <c r="U83" i="56" s="1"/>
  <c r="W83" i="56" s="1"/>
  <c r="S82" i="56"/>
  <c r="U82" i="56" s="1"/>
  <c r="W82" i="56" s="1"/>
  <c r="U81" i="56"/>
  <c r="W81" i="56" s="1"/>
  <c r="S80" i="56"/>
  <c r="U80" i="56" s="1"/>
  <c r="W80" i="56" s="1"/>
  <c r="S77" i="56"/>
  <c r="U77" i="56" s="1"/>
  <c r="W77" i="56" s="1"/>
  <c r="S76" i="56"/>
  <c r="U76" i="56" s="1"/>
  <c r="W76" i="56" s="1"/>
  <c r="U73" i="56"/>
  <c r="W73" i="56" s="1"/>
  <c r="S62" i="56"/>
  <c r="U62" i="56" s="1"/>
  <c r="W62" i="56" s="1"/>
  <c r="S59" i="56"/>
  <c r="U59" i="56" s="1"/>
  <c r="W59" i="56" s="1"/>
  <c r="S56" i="56"/>
  <c r="U56" i="56" s="1"/>
  <c r="W56" i="56" s="1"/>
  <c r="U53" i="56"/>
  <c r="W53" i="56" s="1"/>
  <c r="S51" i="56"/>
  <c r="U51" i="56" s="1"/>
  <c r="S47" i="56"/>
  <c r="S45" i="56"/>
  <c r="U45" i="56" s="1"/>
  <c r="W45" i="56" s="1"/>
  <c r="S44" i="56"/>
  <c r="U44" i="56" s="1"/>
  <c r="W44" i="56" s="1"/>
  <c r="S41" i="56"/>
  <c r="U41" i="56" s="1"/>
  <c r="W41" i="56" s="1"/>
  <c r="S40" i="56"/>
  <c r="U40" i="56" s="1"/>
  <c r="W40" i="56" s="1"/>
  <c r="S38" i="56"/>
  <c r="U38" i="56" s="1"/>
  <c r="W38" i="56" s="1"/>
  <c r="U37" i="56"/>
  <c r="W37" i="56" s="1"/>
  <c r="S34" i="56"/>
  <c r="S33" i="56"/>
  <c r="U33" i="56" s="1"/>
  <c r="S31" i="56"/>
  <c r="U31" i="56" s="1"/>
  <c r="W31" i="56" s="1"/>
  <c r="X29" i="56"/>
  <c r="S28" i="56"/>
  <c r="U28" i="56" s="1"/>
  <c r="W28" i="56" s="1"/>
  <c r="S26" i="56"/>
  <c r="U26" i="56" s="1"/>
  <c r="W26" i="56" s="1"/>
  <c r="S25" i="56"/>
  <c r="S23" i="56"/>
  <c r="U23" i="56" s="1"/>
  <c r="W23" i="56" s="1"/>
  <c r="S22" i="56"/>
  <c r="U22" i="56" s="1"/>
  <c r="W22" i="56" s="1"/>
  <c r="S21" i="56"/>
  <c r="U21" i="56" s="1"/>
  <c r="W21" i="56" s="1"/>
  <c r="S18" i="56"/>
  <c r="U18" i="56" s="1"/>
  <c r="W18" i="56" s="1"/>
  <c r="X95" i="56" l="1"/>
  <c r="Z122" i="56"/>
  <c r="X93" i="56"/>
  <c r="AA93" i="56" s="1"/>
  <c r="AB107" i="56"/>
  <c r="AC107" i="56" s="1"/>
  <c r="W39" i="56"/>
  <c r="X39" i="56" s="1"/>
  <c r="X32" i="56"/>
  <c r="Z32" i="56" s="1"/>
  <c r="X63" i="56"/>
  <c r="AA63" i="56" s="1"/>
  <c r="X142" i="56"/>
  <c r="Z142" i="56" s="1"/>
  <c r="X81" i="56"/>
  <c r="AA81" i="56" s="1"/>
  <c r="X24" i="56"/>
  <c r="AA24" i="56" s="1"/>
  <c r="X133" i="56"/>
  <c r="Z133" i="56" s="1"/>
  <c r="X53" i="56"/>
  <c r="AA53" i="56" s="1"/>
  <c r="X94" i="56"/>
  <c r="Z94" i="56" s="1"/>
  <c r="W90" i="56"/>
  <c r="X90" i="56" s="1"/>
  <c r="Z90" i="56" s="1"/>
  <c r="X60" i="56"/>
  <c r="Z60" i="56" s="1"/>
  <c r="X42" i="56"/>
  <c r="AA42" i="56" s="1"/>
  <c r="X46" i="56"/>
  <c r="AA46" i="56" s="1"/>
  <c r="X55" i="56"/>
  <c r="AA55" i="56" s="1"/>
  <c r="Z93" i="56"/>
  <c r="AB93" i="56" s="1"/>
  <c r="AC93" i="56" s="1"/>
  <c r="X139" i="56"/>
  <c r="Z139" i="56" s="1"/>
  <c r="X48" i="56"/>
  <c r="Z48" i="56" s="1"/>
  <c r="X100" i="56"/>
  <c r="AA100" i="56" s="1"/>
  <c r="X151" i="56"/>
  <c r="AA151" i="56" s="1"/>
  <c r="AA75" i="56"/>
  <c r="Z75" i="56"/>
  <c r="AA43" i="56"/>
  <c r="Z43" i="56"/>
  <c r="Z42" i="56"/>
  <c r="AA74" i="56"/>
  <c r="Z74" i="56"/>
  <c r="X15" i="56"/>
  <c r="AA15" i="56" s="1"/>
  <c r="U69" i="56"/>
  <c r="W69" i="56" s="1"/>
  <c r="U154" i="56"/>
  <c r="W154" i="56" s="1"/>
  <c r="X58" i="56"/>
  <c r="AA58" i="56" s="1"/>
  <c r="X80" i="56"/>
  <c r="Z80" i="56" s="1"/>
  <c r="X110" i="56"/>
  <c r="AA110" i="56" s="1"/>
  <c r="X113" i="56"/>
  <c r="Z113" i="56" s="1"/>
  <c r="X17" i="56"/>
  <c r="Z17" i="56" s="1"/>
  <c r="X62" i="56"/>
  <c r="Z62" i="56" s="1"/>
  <c r="X64" i="56"/>
  <c r="Z64" i="56" s="1"/>
  <c r="U71" i="56"/>
  <c r="W71" i="56" s="1"/>
  <c r="X92" i="56"/>
  <c r="Z92" i="56" s="1"/>
  <c r="X115" i="56"/>
  <c r="AA115" i="56" s="1"/>
  <c r="X119" i="56"/>
  <c r="Z119" i="56" s="1"/>
  <c r="X129" i="56"/>
  <c r="Z129" i="56" s="1"/>
  <c r="X136" i="56"/>
  <c r="Z136" i="56" s="1"/>
  <c r="W33" i="56"/>
  <c r="X33" i="56" s="1"/>
  <c r="W123" i="56"/>
  <c r="X123" i="56" s="1"/>
  <c r="W36" i="56"/>
  <c r="X36" i="56" s="1"/>
  <c r="Z106" i="56"/>
  <c r="AA106" i="56"/>
  <c r="X44" i="56"/>
  <c r="Z44" i="56" s="1"/>
  <c r="X50" i="56"/>
  <c r="Z50" i="56" s="1"/>
  <c r="X77" i="56"/>
  <c r="AA77" i="56" s="1"/>
  <c r="X108" i="56"/>
  <c r="AA108" i="56" s="1"/>
  <c r="X121" i="56"/>
  <c r="Z121" i="56" s="1"/>
  <c r="X128" i="56"/>
  <c r="Z128" i="56" s="1"/>
  <c r="X143" i="56"/>
  <c r="AA143" i="56" s="1"/>
  <c r="X150" i="56"/>
  <c r="AA150" i="56" s="1"/>
  <c r="X145" i="56"/>
  <c r="X19" i="56"/>
  <c r="Z19" i="56" s="1"/>
  <c r="X23" i="56"/>
  <c r="AA23" i="56" s="1"/>
  <c r="X28" i="56"/>
  <c r="AA28" i="56" s="1"/>
  <c r="X49" i="56"/>
  <c r="Z49" i="56" s="1"/>
  <c r="X52" i="56"/>
  <c r="Z52" i="56" s="1"/>
  <c r="X54" i="56"/>
  <c r="AA54" i="56" s="1"/>
  <c r="X56" i="56"/>
  <c r="AA56" i="56" s="1"/>
  <c r="X61" i="56"/>
  <c r="AA61" i="56" s="1"/>
  <c r="X79" i="56"/>
  <c r="Z79" i="56" s="1"/>
  <c r="X85" i="56"/>
  <c r="AA85" i="56" s="1"/>
  <c r="X88" i="56"/>
  <c r="AA88" i="56" s="1"/>
  <c r="X96" i="56"/>
  <c r="AA96" i="56" s="1"/>
  <c r="X102" i="56"/>
  <c r="AA102" i="56" s="1"/>
  <c r="X103" i="56"/>
  <c r="AA103" i="56" s="1"/>
  <c r="X118" i="56"/>
  <c r="AA118" i="56" s="1"/>
  <c r="X120" i="56"/>
  <c r="Z120" i="56" s="1"/>
  <c r="X125" i="56"/>
  <c r="X20" i="56"/>
  <c r="AA20" i="56" s="1"/>
  <c r="U25" i="56"/>
  <c r="W25" i="56" s="1"/>
  <c r="X30" i="56"/>
  <c r="Z30" i="56" s="1"/>
  <c r="U34" i="56"/>
  <c r="W34" i="56" s="1"/>
  <c r="X38" i="56"/>
  <c r="AA38" i="56" s="1"/>
  <c r="X68" i="56"/>
  <c r="Z68" i="56" s="1"/>
  <c r="X82" i="56"/>
  <c r="Z82" i="56" s="1"/>
  <c r="X98" i="56"/>
  <c r="AA98" i="56" s="1"/>
  <c r="X101" i="56"/>
  <c r="AA101" i="56" s="1"/>
  <c r="U153" i="56"/>
  <c r="W153" i="56" s="1"/>
  <c r="Z150" i="56"/>
  <c r="X149" i="56"/>
  <c r="X148" i="56"/>
  <c r="X144" i="56"/>
  <c r="X138" i="56"/>
  <c r="X137" i="56"/>
  <c r="U134" i="56"/>
  <c r="W134" i="56" s="1"/>
  <c r="X132" i="56"/>
  <c r="X131" i="56"/>
  <c r="X130" i="56"/>
  <c r="AA127" i="56"/>
  <c r="Z127" i="56"/>
  <c r="AA126" i="56"/>
  <c r="Z126" i="56"/>
  <c r="X124" i="56"/>
  <c r="AB122" i="56"/>
  <c r="X117" i="56"/>
  <c r="W116" i="56"/>
  <c r="X116" i="56" s="1"/>
  <c r="X114" i="56"/>
  <c r="X112" i="56"/>
  <c r="X111" i="56"/>
  <c r="Z109" i="56"/>
  <c r="AA109" i="56"/>
  <c r="X105" i="56"/>
  <c r="X104" i="56"/>
  <c r="X99" i="56"/>
  <c r="X97" i="56"/>
  <c r="AA95" i="56"/>
  <c r="Z95" i="56"/>
  <c r="X91" i="56"/>
  <c r="X89" i="56"/>
  <c r="X87" i="56"/>
  <c r="X86" i="56"/>
  <c r="X84" i="56"/>
  <c r="X83" i="56"/>
  <c r="X78" i="56"/>
  <c r="X76" i="56"/>
  <c r="X73" i="56"/>
  <c r="X72" i="56"/>
  <c r="Z70" i="56"/>
  <c r="AA70" i="56"/>
  <c r="Z67" i="56"/>
  <c r="AA67" i="56"/>
  <c r="AA66" i="56"/>
  <c r="Z66" i="56"/>
  <c r="Z65" i="56"/>
  <c r="AA65" i="56"/>
  <c r="X59" i="56"/>
  <c r="AA57" i="56"/>
  <c r="Z57" i="56"/>
  <c r="Z56" i="56"/>
  <c r="W51" i="56"/>
  <c r="X51" i="56" s="1"/>
  <c r="U47" i="56"/>
  <c r="W47" i="56" s="1"/>
  <c r="X45" i="56"/>
  <c r="X41" i="56"/>
  <c r="X40" i="56"/>
  <c r="X37" i="56"/>
  <c r="X35" i="56"/>
  <c r="AA32" i="56"/>
  <c r="X31" i="56"/>
  <c r="AA29" i="56"/>
  <c r="Z29" i="56"/>
  <c r="X27" i="56"/>
  <c r="AA27" i="56" s="1"/>
  <c r="X26" i="56"/>
  <c r="X22" i="56"/>
  <c r="X21" i="56"/>
  <c r="Z20" i="56"/>
  <c r="X18" i="56"/>
  <c r="Z16" i="56"/>
  <c r="AA16" i="56"/>
  <c r="AA142" i="56" l="1"/>
  <c r="Z38" i="56"/>
  <c r="AA64" i="56"/>
  <c r="Z77" i="56"/>
  <c r="Z110" i="56"/>
  <c r="Z143" i="56"/>
  <c r="AB143" i="56" s="1"/>
  <c r="AA52" i="56"/>
  <c r="AA94" i="56"/>
  <c r="AA119" i="56"/>
  <c r="Z53" i="56"/>
  <c r="AB53" i="56" s="1"/>
  <c r="Z81" i="56"/>
  <c r="AA139" i="56"/>
  <c r="AB139" i="56" s="1"/>
  <c r="AC139" i="56" s="1"/>
  <c r="Z24" i="56"/>
  <c r="AB24" i="56" s="1"/>
  <c r="AA48" i="56"/>
  <c r="AB48" i="56" s="1"/>
  <c r="BI48" i="56" s="1"/>
  <c r="AA60" i="56"/>
  <c r="AB60" i="56" s="1"/>
  <c r="Z63" i="56"/>
  <c r="AB63" i="56" s="1"/>
  <c r="Z58" i="56"/>
  <c r="Z102" i="56"/>
  <c r="AB102" i="56" s="1"/>
  <c r="AA90" i="56"/>
  <c r="AB90" i="56" s="1"/>
  <c r="BI90" i="56" s="1"/>
  <c r="AA19" i="56"/>
  <c r="AB19" i="56" s="1"/>
  <c r="Z101" i="56"/>
  <c r="AB101" i="56" s="1"/>
  <c r="AA50" i="56"/>
  <c r="Z115" i="56"/>
  <c r="AB115" i="56" s="1"/>
  <c r="Z151" i="56"/>
  <c r="AB151" i="56" s="1"/>
  <c r="AC151" i="56" s="1"/>
  <c r="AB75" i="56"/>
  <c r="Z15" i="56"/>
  <c r="AB15" i="56" s="1"/>
  <c r="AC15" i="56" s="1"/>
  <c r="AA30" i="56"/>
  <c r="AB30" i="56" s="1"/>
  <c r="AB70" i="56"/>
  <c r="BI70" i="56" s="1"/>
  <c r="AA113" i="56"/>
  <c r="AB113" i="56" s="1"/>
  <c r="AA128" i="56"/>
  <c r="AB128" i="56" s="1"/>
  <c r="AA133" i="56"/>
  <c r="AB133" i="56" s="1"/>
  <c r="Z39" i="56"/>
  <c r="AA39" i="56"/>
  <c r="Z23" i="56"/>
  <c r="AB23" i="56" s="1"/>
  <c r="AC23" i="56" s="1"/>
  <c r="Z100" i="56"/>
  <c r="AB100" i="56" s="1"/>
  <c r="Z28" i="56"/>
  <c r="AB28" i="56" s="1"/>
  <c r="AA79" i="56"/>
  <c r="AB79" i="56" s="1"/>
  <c r="Z88" i="56"/>
  <c r="AB88" i="56" s="1"/>
  <c r="BI93" i="56"/>
  <c r="Z103" i="56"/>
  <c r="AB103" i="56" s="1"/>
  <c r="AC103" i="56" s="1"/>
  <c r="AA136" i="56"/>
  <c r="AB136" i="56" s="1"/>
  <c r="Z54" i="56"/>
  <c r="AB54" i="56" s="1"/>
  <c r="Z85" i="56"/>
  <c r="AB85" i="56" s="1"/>
  <c r="AA129" i="56"/>
  <c r="AB129" i="56" s="1"/>
  <c r="AB58" i="56"/>
  <c r="AC58" i="56" s="1"/>
  <c r="AB74" i="56"/>
  <c r="AC74" i="56" s="1"/>
  <c r="AB43" i="56"/>
  <c r="AB42" i="56"/>
  <c r="BI42" i="56" s="1"/>
  <c r="AA17" i="56"/>
  <c r="AB17" i="56" s="1"/>
  <c r="Z46" i="56"/>
  <c r="AB46" i="56" s="1"/>
  <c r="AC46" i="56" s="1"/>
  <c r="Z55" i="56"/>
  <c r="AB55" i="56" s="1"/>
  <c r="AC55" i="56" s="1"/>
  <c r="AA92" i="56"/>
  <c r="AB92" i="56" s="1"/>
  <c r="AB94" i="56"/>
  <c r="AC94" i="56" s="1"/>
  <c r="Z98" i="56"/>
  <c r="AB98" i="56" s="1"/>
  <c r="Z108" i="56"/>
  <c r="AB108" i="56" s="1"/>
  <c r="AA121" i="56"/>
  <c r="AB121" i="56" s="1"/>
  <c r="AA68" i="56"/>
  <c r="AB68" i="56" s="1"/>
  <c r="AB81" i="56"/>
  <c r="BI81" i="56" s="1"/>
  <c r="AB127" i="56"/>
  <c r="AC127" i="56" s="1"/>
  <c r="BI43" i="56"/>
  <c r="AB150" i="56"/>
  <c r="AA62" i="56"/>
  <c r="AB62" i="56" s="1"/>
  <c r="AB65" i="56"/>
  <c r="BI65" i="56" s="1"/>
  <c r="AB67" i="56"/>
  <c r="AC67" i="56" s="1"/>
  <c r="AA80" i="56"/>
  <c r="AB80" i="56" s="1"/>
  <c r="AA82" i="56"/>
  <c r="AB82" i="56" s="1"/>
  <c r="Z118" i="56"/>
  <c r="AB118" i="56" s="1"/>
  <c r="X134" i="56"/>
  <c r="AA134" i="56" s="1"/>
  <c r="AB77" i="56"/>
  <c r="BI77" i="56" s="1"/>
  <c r="AB106" i="56"/>
  <c r="AC106" i="56" s="1"/>
  <c r="X71" i="56"/>
  <c r="BH93" i="56"/>
  <c r="AB95" i="56"/>
  <c r="AB50" i="56"/>
  <c r="X69" i="56"/>
  <c r="AB56" i="56"/>
  <c r="AB16" i="56"/>
  <c r="BI16" i="56" s="1"/>
  <c r="AB38" i="56"/>
  <c r="BI38" i="56" s="1"/>
  <c r="AB64" i="56"/>
  <c r="BI64" i="56" s="1"/>
  <c r="AB142" i="56"/>
  <c r="X154" i="56"/>
  <c r="AA36" i="56"/>
  <c r="Z36" i="56"/>
  <c r="Z33" i="56"/>
  <c r="AA33" i="56"/>
  <c r="AA123" i="56"/>
  <c r="Z123" i="56"/>
  <c r="Z145" i="56"/>
  <c r="AA145" i="56"/>
  <c r="AA44" i="56"/>
  <c r="AB44" i="56" s="1"/>
  <c r="AA49" i="56"/>
  <c r="AB49" i="56" s="1"/>
  <c r="Z61" i="56"/>
  <c r="AB61" i="56" s="1"/>
  <c r="Z96" i="56"/>
  <c r="AB96" i="56" s="1"/>
  <c r="AA120" i="56"/>
  <c r="AB120" i="56" s="1"/>
  <c r="AC122" i="56"/>
  <c r="Z130" i="56"/>
  <c r="X25" i="56"/>
  <c r="AB29" i="56"/>
  <c r="AB110" i="56"/>
  <c r="BI110" i="56" s="1"/>
  <c r="BI122" i="56"/>
  <c r="AB126" i="56"/>
  <c r="BI126" i="56" s="1"/>
  <c r="X153" i="56"/>
  <c r="Z153" i="56" s="1"/>
  <c r="Z125" i="56"/>
  <c r="AA125" i="56"/>
  <c r="AB20" i="56"/>
  <c r="AC20" i="56" s="1"/>
  <c r="AB32" i="56"/>
  <c r="BI32" i="56" s="1"/>
  <c r="X47" i="56"/>
  <c r="AA47" i="56" s="1"/>
  <c r="AB52" i="56"/>
  <c r="BI52" i="56" s="1"/>
  <c r="AB57" i="56"/>
  <c r="AC57" i="56" s="1"/>
  <c r="AB66" i="56"/>
  <c r="AC66" i="56" s="1"/>
  <c r="AB109" i="56"/>
  <c r="BI109" i="56" s="1"/>
  <c r="AB119" i="56"/>
  <c r="AA130" i="56"/>
  <c r="X34" i="56"/>
  <c r="AA149" i="56"/>
  <c r="Z149" i="56"/>
  <c r="Z148" i="56"/>
  <c r="AA148" i="56"/>
  <c r="Z144" i="56"/>
  <c r="AA144" i="56"/>
  <c r="Z138" i="56"/>
  <c r="AA138" i="56"/>
  <c r="Z137" i="56"/>
  <c r="AA137" i="56"/>
  <c r="Z132" i="56"/>
  <c r="AA132" i="56"/>
  <c r="AA131" i="56"/>
  <c r="Z131" i="56"/>
  <c r="Z124" i="56"/>
  <c r="AA124" i="56"/>
  <c r="Z117" i="56"/>
  <c r="AA117" i="56"/>
  <c r="AA116" i="56"/>
  <c r="Z116" i="56"/>
  <c r="AA114" i="56"/>
  <c r="Z114" i="56"/>
  <c r="AA112" i="56"/>
  <c r="Z112" i="56"/>
  <c r="AA111" i="56"/>
  <c r="Z111" i="56"/>
  <c r="AA105" i="56"/>
  <c r="Z105" i="56"/>
  <c r="Z104" i="56"/>
  <c r="AA104" i="56"/>
  <c r="AA99" i="56"/>
  <c r="Z99" i="56"/>
  <c r="Z97" i="56"/>
  <c r="AA97" i="56"/>
  <c r="Z91" i="56"/>
  <c r="AA91" i="56"/>
  <c r="Z89" i="56"/>
  <c r="AA89" i="56"/>
  <c r="Z87" i="56"/>
  <c r="AA87" i="56"/>
  <c r="Z86" i="56"/>
  <c r="AA86" i="56"/>
  <c r="AA84" i="56"/>
  <c r="Z84" i="56"/>
  <c r="Z83" i="56"/>
  <c r="AA83" i="56"/>
  <c r="AA78" i="56"/>
  <c r="Z78" i="56"/>
  <c r="AA76" i="56"/>
  <c r="Z76" i="56"/>
  <c r="AA73" i="56"/>
  <c r="Z73" i="56"/>
  <c r="AA72" i="56"/>
  <c r="Z72" i="56"/>
  <c r="AC70" i="56"/>
  <c r="BI67" i="56"/>
  <c r="AC64" i="56"/>
  <c r="Z59" i="56"/>
  <c r="AA59" i="56"/>
  <c r="AA51" i="56"/>
  <c r="Z51" i="56"/>
  <c r="BI46" i="56"/>
  <c r="Z45" i="56"/>
  <c r="AA45" i="56"/>
  <c r="Z41" i="56"/>
  <c r="AA41" i="56"/>
  <c r="AA40" i="56"/>
  <c r="Z40" i="56"/>
  <c r="AA37" i="56"/>
  <c r="Z37" i="56"/>
  <c r="Z35" i="56"/>
  <c r="AA35" i="56"/>
  <c r="Z31" i="56"/>
  <c r="AA31" i="56"/>
  <c r="Z27" i="56"/>
  <c r="AB27" i="56" s="1"/>
  <c r="AA26" i="56"/>
  <c r="Z26" i="56"/>
  <c r="AA22" i="56"/>
  <c r="Z22" i="56"/>
  <c r="AA21" i="56"/>
  <c r="Z21" i="56"/>
  <c r="Z18" i="56"/>
  <c r="AA18" i="56"/>
  <c r="Z47" i="56" l="1"/>
  <c r="AB47" i="56" s="1"/>
  <c r="AC54" i="56"/>
  <c r="BH54" i="56" s="1"/>
  <c r="BK54" i="56" s="1"/>
  <c r="G57" i="55" s="1"/>
  <c r="BI55" i="56"/>
  <c r="BI75" i="56"/>
  <c r="AB39" i="56"/>
  <c r="BI39" i="56" s="1"/>
  <c r="AC81" i="56"/>
  <c r="BH81" i="56" s="1"/>
  <c r="BI53" i="56"/>
  <c r="BH67" i="56"/>
  <c r="BK67" i="56" s="1"/>
  <c r="G70" i="55" s="1"/>
  <c r="AC60" i="56"/>
  <c r="BH60" i="56" s="1"/>
  <c r="E63" i="55" s="1"/>
  <c r="AC77" i="56"/>
  <c r="AC75" i="56"/>
  <c r="BH75" i="56" s="1"/>
  <c r="E78" i="55" s="1"/>
  <c r="AC24" i="56"/>
  <c r="BH24" i="56" s="1"/>
  <c r="E27" i="55" s="1"/>
  <c r="AC85" i="56"/>
  <c r="AC53" i="56"/>
  <c r="BH53" i="56" s="1"/>
  <c r="BI54" i="56"/>
  <c r="AC128" i="56"/>
  <c r="BH128" i="56" s="1"/>
  <c r="BK128" i="56" s="1"/>
  <c r="G129" i="55" s="1"/>
  <c r="AC142" i="56"/>
  <c r="BI74" i="56"/>
  <c r="AC39" i="56"/>
  <c r="BI66" i="56"/>
  <c r="AB36" i="56"/>
  <c r="BH74" i="56"/>
  <c r="AC19" i="56"/>
  <c r="BI19" i="56"/>
  <c r="BI58" i="56"/>
  <c r="AC63" i="56"/>
  <c r="Z134" i="56"/>
  <c r="BH46" i="56"/>
  <c r="AC48" i="56"/>
  <c r="BI63" i="56"/>
  <c r="BH122" i="56"/>
  <c r="BJ122" i="56" s="1"/>
  <c r="F123" i="55" s="1"/>
  <c r="BH63" i="56"/>
  <c r="BJ63" i="56" s="1"/>
  <c r="F66" i="55" s="1"/>
  <c r="BH55" i="56"/>
  <c r="BK55" i="56" s="1"/>
  <c r="G58" i="55" s="1"/>
  <c r="BI113" i="56"/>
  <c r="AC113" i="56"/>
  <c r="AC101" i="56"/>
  <c r="BI101" i="56"/>
  <c r="BI30" i="56"/>
  <c r="AC30" i="56"/>
  <c r="BI115" i="56"/>
  <c r="AC129" i="56"/>
  <c r="AC28" i="56"/>
  <c r="AC110" i="56"/>
  <c r="AC16" i="56"/>
  <c r="AB37" i="56"/>
  <c r="BI56" i="56"/>
  <c r="AC102" i="56"/>
  <c r="BH102" i="56" s="1"/>
  <c r="BK102" i="56" s="1"/>
  <c r="G105" i="55" s="1"/>
  <c r="AB114" i="56"/>
  <c r="BI114" i="56" s="1"/>
  <c r="AC43" i="56"/>
  <c r="BH43" i="56" s="1"/>
  <c r="E46" i="55" s="1"/>
  <c r="AC42" i="56"/>
  <c r="BH70" i="56"/>
  <c r="BK70" i="56" s="1"/>
  <c r="G73" i="55" s="1"/>
  <c r="AB117" i="56"/>
  <c r="BI117" i="56" s="1"/>
  <c r="AB149" i="56"/>
  <c r="AC68" i="56"/>
  <c r="AC98" i="56"/>
  <c r="BI79" i="56"/>
  <c r="AC79" i="56"/>
  <c r="BH94" i="56"/>
  <c r="BH103" i="56"/>
  <c r="E106" i="55" s="1"/>
  <c r="BI128" i="56"/>
  <c r="BH127" i="56"/>
  <c r="BI24" i="56"/>
  <c r="AC32" i="56"/>
  <c r="BH58" i="56"/>
  <c r="E61" i="55" s="1"/>
  <c r="BH64" i="56"/>
  <c r="BH66" i="56"/>
  <c r="AB89" i="56"/>
  <c r="BI89" i="56" s="1"/>
  <c r="BI94" i="56"/>
  <c r="AB99" i="56"/>
  <c r="BI103" i="56"/>
  <c r="AC115" i="56"/>
  <c r="AC126" i="56"/>
  <c r="BI129" i="56"/>
  <c r="AC150" i="56"/>
  <c r="BI50" i="56"/>
  <c r="AC50" i="56"/>
  <c r="BH50" i="56" s="1"/>
  <c r="E53" i="55" s="1"/>
  <c r="BI100" i="56"/>
  <c r="BI120" i="56"/>
  <c r="AC118" i="56"/>
  <c r="BI118" i="56"/>
  <c r="BI80" i="56"/>
  <c r="AC17" i="56"/>
  <c r="BI17" i="56"/>
  <c r="BI108" i="56"/>
  <c r="AC108" i="56"/>
  <c r="BH23" i="56"/>
  <c r="BH20" i="56"/>
  <c r="BK20" i="56" s="1"/>
  <c r="G23" i="55" s="1"/>
  <c r="BI23" i="56"/>
  <c r="BI28" i="56"/>
  <c r="AB40" i="56"/>
  <c r="BI40" i="56" s="1"/>
  <c r="BI68" i="56"/>
  <c r="BI127" i="56"/>
  <c r="BH15" i="56"/>
  <c r="AB21" i="56"/>
  <c r="AC52" i="56"/>
  <c r="AC56" i="56"/>
  <c r="BH56" i="56" s="1"/>
  <c r="E59" i="55" s="1"/>
  <c r="AC65" i="56"/>
  <c r="AC90" i="56"/>
  <c r="AC95" i="56"/>
  <c r="BI98" i="56"/>
  <c r="AC100" i="56"/>
  <c r="BI102" i="56"/>
  <c r="AB132" i="56"/>
  <c r="AC136" i="56"/>
  <c r="AC143" i="56"/>
  <c r="AB130" i="56"/>
  <c r="AC130" i="56" s="1"/>
  <c r="AB35" i="56"/>
  <c r="AB83" i="56"/>
  <c r="BH100" i="56"/>
  <c r="AB104" i="56"/>
  <c r="AB112" i="56"/>
  <c r="AB134" i="56"/>
  <c r="AC61" i="56"/>
  <c r="BI61" i="56"/>
  <c r="BI44" i="56"/>
  <c r="BI82" i="56"/>
  <c r="AC82" i="56"/>
  <c r="BK93" i="56"/>
  <c r="G96" i="55" s="1"/>
  <c r="BJ93" i="56"/>
  <c r="F96" i="55" s="1"/>
  <c r="E96" i="55"/>
  <c r="BI36" i="56"/>
  <c r="AC38" i="56"/>
  <c r="AB51" i="56"/>
  <c r="BI51" i="56" s="1"/>
  <c r="AC62" i="56"/>
  <c r="AB73" i="56"/>
  <c r="BI73" i="56" s="1"/>
  <c r="AB78" i="56"/>
  <c r="AC78" i="56" s="1"/>
  <c r="BI95" i="56"/>
  <c r="AC120" i="56"/>
  <c r="BH120" i="56" s="1"/>
  <c r="E121" i="55" s="1"/>
  <c r="BI121" i="56"/>
  <c r="AA154" i="56"/>
  <c r="Z154" i="56"/>
  <c r="AA71" i="56"/>
  <c r="Z71" i="56"/>
  <c r="Z69" i="56"/>
  <c r="AA69" i="56"/>
  <c r="BI15" i="56"/>
  <c r="AB26" i="56"/>
  <c r="AB31" i="56"/>
  <c r="AB41" i="56"/>
  <c r="BI41" i="56" s="1"/>
  <c r="BI60" i="56"/>
  <c r="BI62" i="56"/>
  <c r="AB76" i="56"/>
  <c r="BI76" i="56" s="1"/>
  <c r="AC80" i="56"/>
  <c r="AB87" i="56"/>
  <c r="AB91" i="56"/>
  <c r="AC109" i="56"/>
  <c r="BH109" i="56" s="1"/>
  <c r="AB111" i="56"/>
  <c r="AC111" i="56" s="1"/>
  <c r="AC121" i="56"/>
  <c r="AB137" i="56"/>
  <c r="AC137" i="56" s="1"/>
  <c r="AB144" i="56"/>
  <c r="BI142" i="56" s="1"/>
  <c r="AB125" i="56"/>
  <c r="BI125" i="56" s="1"/>
  <c r="AB145" i="56"/>
  <c r="AC145" i="56" s="1"/>
  <c r="AB97" i="56"/>
  <c r="BI97" i="56" s="1"/>
  <c r="AB138" i="56"/>
  <c r="BI49" i="56"/>
  <c r="AC49" i="56"/>
  <c r="BI96" i="56"/>
  <c r="AC96" i="56"/>
  <c r="AA34" i="56"/>
  <c r="Z34" i="56"/>
  <c r="Z25" i="56"/>
  <c r="AA25" i="56"/>
  <c r="BI20" i="56"/>
  <c r="AC29" i="56"/>
  <c r="BI57" i="56"/>
  <c r="BI85" i="56"/>
  <c r="AC88" i="56"/>
  <c r="BH88" i="56" s="1"/>
  <c r="E91" i="55" s="1"/>
  <c r="BI92" i="56"/>
  <c r="BI133" i="56"/>
  <c r="AC133" i="56"/>
  <c r="BH133" i="56" s="1"/>
  <c r="AB18" i="56"/>
  <c r="BI18" i="56" s="1"/>
  <c r="AB22" i="56"/>
  <c r="BI22" i="56" s="1"/>
  <c r="BI29" i="56"/>
  <c r="AC44" i="56"/>
  <c r="BH44" i="56" s="1"/>
  <c r="E47" i="55" s="1"/>
  <c r="BH57" i="56"/>
  <c r="AB72" i="56"/>
  <c r="AC72" i="56" s="1"/>
  <c r="AB86" i="56"/>
  <c r="BI86" i="56" s="1"/>
  <c r="BI88" i="56"/>
  <c r="AC92" i="56"/>
  <c r="AB116" i="56"/>
  <c r="AC116" i="56" s="1"/>
  <c r="BI119" i="56"/>
  <c r="AC119" i="56"/>
  <c r="BH119" i="56" s="1"/>
  <c r="AB131" i="56"/>
  <c r="AB148" i="56"/>
  <c r="AC148" i="56" s="1"/>
  <c r="AA153" i="56"/>
  <c r="AB153" i="56" s="1"/>
  <c r="AB123" i="56"/>
  <c r="AB45" i="56"/>
  <c r="AB59" i="56"/>
  <c r="BI59" i="56" s="1"/>
  <c r="AB84" i="56"/>
  <c r="AB105" i="56"/>
  <c r="BI105" i="56" s="1"/>
  <c r="AB124" i="56"/>
  <c r="AC124" i="56" s="1"/>
  <c r="AB33" i="56"/>
  <c r="AC114" i="56"/>
  <c r="AC41" i="56"/>
  <c r="AC27" i="56"/>
  <c r="BI27" i="56"/>
  <c r="BI26" i="56"/>
  <c r="BK75" i="56" l="1"/>
  <c r="G78" i="55" s="1"/>
  <c r="BJ75" i="56"/>
  <c r="F78" i="55" s="1"/>
  <c r="BJ81" i="56"/>
  <c r="F84" i="55" s="1"/>
  <c r="E84" i="55"/>
  <c r="BK81" i="56"/>
  <c r="G84" i="55" s="1"/>
  <c r="BH121" i="56"/>
  <c r="BK121" i="56" s="1"/>
  <c r="G122" i="55" s="1"/>
  <c r="BJ53" i="56"/>
  <c r="F56" i="55" s="1"/>
  <c r="AC31" i="56"/>
  <c r="AC117" i="56"/>
  <c r="BH117" i="56" s="1"/>
  <c r="BK117" i="56" s="1"/>
  <c r="G118" i="55" s="1"/>
  <c r="BH118" i="56"/>
  <c r="BJ118" i="56" s="1"/>
  <c r="F119" i="55" s="1"/>
  <c r="BH110" i="56"/>
  <c r="BJ110" i="56" s="1"/>
  <c r="F111" i="55" s="1"/>
  <c r="BI37" i="56"/>
  <c r="E58" i="55"/>
  <c r="BH77" i="56"/>
  <c r="E80" i="55" s="1"/>
  <c r="AC40" i="56"/>
  <c r="E66" i="55"/>
  <c r="BJ66" i="56"/>
  <c r="BH32" i="56"/>
  <c r="E35" i="55" s="1"/>
  <c r="BI31" i="56"/>
  <c r="AC73" i="56"/>
  <c r="BI132" i="56"/>
  <c r="BH16" i="56"/>
  <c r="BJ16" i="56" s="1"/>
  <c r="F19" i="55" s="1"/>
  <c r="BH129" i="56"/>
  <c r="E130" i="55" s="1"/>
  <c r="BH19" i="56"/>
  <c r="BK19" i="56" s="1"/>
  <c r="G22" i="55" s="1"/>
  <c r="BH85" i="56"/>
  <c r="E88" i="55" s="1"/>
  <c r="BJ100" i="56"/>
  <c r="F103" i="55" s="1"/>
  <c r="E103" i="55"/>
  <c r="AC87" i="56"/>
  <c r="BH87" i="56" s="1"/>
  <c r="BK87" i="56" s="1"/>
  <c r="G90" i="55" s="1"/>
  <c r="BJ127" i="56"/>
  <c r="F128" i="55" s="1"/>
  <c r="BH115" i="56"/>
  <c r="E116" i="55" s="1"/>
  <c r="BH101" i="56"/>
  <c r="E104" i="55" s="1"/>
  <c r="BI35" i="56"/>
  <c r="AC45" i="56"/>
  <c r="BH45" i="56" s="1"/>
  <c r="E73" i="55"/>
  <c r="AC83" i="56"/>
  <c r="BH83" i="56" s="1"/>
  <c r="BK83" i="56" s="1"/>
  <c r="G86" i="55" s="1"/>
  <c r="AC89" i="56"/>
  <c r="BH89" i="56" s="1"/>
  <c r="BJ89" i="56" s="1"/>
  <c r="F92" i="55" s="1"/>
  <c r="E128" i="55"/>
  <c r="BH92" i="56"/>
  <c r="E95" i="55" s="1"/>
  <c r="BH65" i="56"/>
  <c r="BK65" i="56" s="1"/>
  <c r="G68" i="55" s="1"/>
  <c r="BH48" i="56"/>
  <c r="BK48" i="56" s="1"/>
  <c r="G51" i="55" s="1"/>
  <c r="BH39" i="56"/>
  <c r="E42" i="55" s="1"/>
  <c r="BH98" i="56"/>
  <c r="BJ98" i="56" s="1"/>
  <c r="F101" i="55" s="1"/>
  <c r="BH30" i="56"/>
  <c r="BK30" i="56" s="1"/>
  <c r="G33" i="55" s="1"/>
  <c r="AC36" i="56"/>
  <c r="BK46" i="56"/>
  <c r="G49" i="55" s="1"/>
  <c r="BJ46" i="56"/>
  <c r="E15" i="58" s="1"/>
  <c r="BH17" i="56"/>
  <c r="E20" i="55" s="1"/>
  <c r="BH113" i="56"/>
  <c r="BJ113" i="56" s="1"/>
  <c r="F114" i="55" s="1"/>
  <c r="AC37" i="56"/>
  <c r="BI45" i="56"/>
  <c r="BJ70" i="56"/>
  <c r="F73" i="55" s="1"/>
  <c r="E57" i="55"/>
  <c r="BK122" i="56"/>
  <c r="G123" i="55" s="1"/>
  <c r="BK74" i="56"/>
  <c r="G77" i="55" s="1"/>
  <c r="E77" i="55"/>
  <c r="BJ54" i="56"/>
  <c r="F57" i="55" s="1"/>
  <c r="BJ55" i="56"/>
  <c r="F58" i="55" s="1"/>
  <c r="AC132" i="56"/>
  <c r="BH132" i="56" s="1"/>
  <c r="BJ132" i="56" s="1"/>
  <c r="F133" i="55" s="1"/>
  <c r="AC104" i="56"/>
  <c r="AC131" i="56"/>
  <c r="E123" i="55"/>
  <c r="BH31" i="56"/>
  <c r="BH40" i="56"/>
  <c r="E43" i="55" s="1"/>
  <c r="E70" i="55"/>
  <c r="AC76" i="56"/>
  <c r="AC84" i="56"/>
  <c r="BI104" i="56"/>
  <c r="BK32" i="56"/>
  <c r="G35" i="55" s="1"/>
  <c r="BJ43" i="56"/>
  <c r="F46" i="55" s="1"/>
  <c r="BK43" i="56"/>
  <c r="G46" i="55" s="1"/>
  <c r="BJ109" i="56"/>
  <c r="F110" i="55" s="1"/>
  <c r="E110" i="55"/>
  <c r="AC99" i="56"/>
  <c r="BI134" i="56"/>
  <c r="AC149" i="56"/>
  <c r="BH126" i="56"/>
  <c r="E127" i="55" s="1"/>
  <c r="BH52" i="56"/>
  <c r="BJ52" i="56" s="1"/>
  <c r="F55" i="55" s="1"/>
  <c r="BH28" i="56"/>
  <c r="BJ28" i="56" s="1"/>
  <c r="F31" i="55" s="1"/>
  <c r="BI21" i="56"/>
  <c r="AC35" i="56"/>
  <c r="BH78" i="56"/>
  <c r="BI91" i="56"/>
  <c r="E105" i="55"/>
  <c r="BI112" i="56"/>
  <c r="AC134" i="56"/>
  <c r="BH49" i="56"/>
  <c r="BJ49" i="56" s="1"/>
  <c r="F52" i="55" s="1"/>
  <c r="BJ120" i="56"/>
  <c r="F121" i="55" s="1"/>
  <c r="BH95" i="56"/>
  <c r="BJ95" i="56" s="1"/>
  <c r="F98" i="55" s="1"/>
  <c r="BH90" i="56"/>
  <c r="BK90" i="56" s="1"/>
  <c r="G93" i="55" s="1"/>
  <c r="BH62" i="56"/>
  <c r="BK62" i="56" s="1"/>
  <c r="G65" i="55" s="1"/>
  <c r="BH38" i="56"/>
  <c r="E41" i="55" s="1"/>
  <c r="BI130" i="56"/>
  <c r="BH68" i="56"/>
  <c r="BJ103" i="56"/>
  <c r="F106" i="55" s="1"/>
  <c r="AC21" i="56"/>
  <c r="BI78" i="56"/>
  <c r="BK24" i="56"/>
  <c r="G27" i="55" s="1"/>
  <c r="BH27" i="56"/>
  <c r="E30" i="55" s="1"/>
  <c r="BI83" i="56"/>
  <c r="BH42" i="56"/>
  <c r="E97" i="55"/>
  <c r="BJ94" i="56"/>
  <c r="F97" i="55" s="1"/>
  <c r="BK94" i="56"/>
  <c r="G97" i="55" s="1"/>
  <c r="E18" i="55"/>
  <c r="BJ15" i="56"/>
  <c r="F18" i="55" s="1"/>
  <c r="BK15" i="56"/>
  <c r="G18" i="55" s="1"/>
  <c r="BK64" i="56"/>
  <c r="G67" i="55" s="1"/>
  <c r="BJ64" i="56"/>
  <c r="F67" i="55" s="1"/>
  <c r="E67" i="55"/>
  <c r="BH84" i="56"/>
  <c r="BK84" i="56" s="1"/>
  <c r="G87" i="55" s="1"/>
  <c r="BJ60" i="56"/>
  <c r="F63" i="55" s="1"/>
  <c r="BH82" i="56"/>
  <c r="BJ82" i="56" s="1"/>
  <c r="F85" i="55" s="1"/>
  <c r="BH79" i="56"/>
  <c r="AC22" i="56"/>
  <c r="E56" i="55"/>
  <c r="BJ56" i="56"/>
  <c r="F59" i="55" s="1"/>
  <c r="BK63" i="56"/>
  <c r="G66" i="55" s="1"/>
  <c r="BJ67" i="56"/>
  <c r="F70" i="55" s="1"/>
  <c r="BH111" i="56"/>
  <c r="AC125" i="56"/>
  <c r="BJ74" i="56"/>
  <c r="BJ58" i="56"/>
  <c r="F61" i="55" s="1"/>
  <c r="BJ102" i="56"/>
  <c r="F105" i="55" s="1"/>
  <c r="BH108" i="56"/>
  <c r="BK108" i="56" s="1"/>
  <c r="G109" i="55" s="1"/>
  <c r="BJ24" i="56"/>
  <c r="F27" i="55" s="1"/>
  <c r="AC51" i="56"/>
  <c r="BH51" i="56" s="1"/>
  <c r="BI99" i="56"/>
  <c r="BI47" i="56"/>
  <c r="BK53" i="56"/>
  <c r="G56" i="55" s="1"/>
  <c r="BI84" i="56"/>
  <c r="AB71" i="56"/>
  <c r="BK133" i="56"/>
  <c r="G134" i="55" s="1"/>
  <c r="E134" i="55"/>
  <c r="BJ133" i="56"/>
  <c r="F134" i="55" s="1"/>
  <c r="BJ23" i="56"/>
  <c r="F26" i="55" s="1"/>
  <c r="BK23" i="56"/>
  <c r="G26" i="55" s="1"/>
  <c r="E26" i="55"/>
  <c r="E49" i="55"/>
  <c r="AC47" i="56"/>
  <c r="BH47" i="56" s="1"/>
  <c r="E50" i="55" s="1"/>
  <c r="BK58" i="56"/>
  <c r="G61" i="55" s="1"/>
  <c r="BH76" i="56"/>
  <c r="AC86" i="56"/>
  <c r="BK88" i="56"/>
  <c r="G91" i="55" s="1"/>
  <c r="AC97" i="56"/>
  <c r="BH97" i="56" s="1"/>
  <c r="AC105" i="56"/>
  <c r="BI111" i="56"/>
  <c r="BJ128" i="56"/>
  <c r="F129" i="55" s="1"/>
  <c r="BH130" i="56"/>
  <c r="BK56" i="56"/>
  <c r="G59" i="55" s="1"/>
  <c r="BK60" i="56"/>
  <c r="G63" i="55" s="1"/>
  <c r="AC91" i="56"/>
  <c r="BH91" i="56" s="1"/>
  <c r="BK91" i="56" s="1"/>
  <c r="G94" i="55" s="1"/>
  <c r="AC112" i="56"/>
  <c r="BI131" i="56"/>
  <c r="BH29" i="56"/>
  <c r="E32" i="55" s="1"/>
  <c r="BH80" i="56"/>
  <c r="BJ80" i="56" s="1"/>
  <c r="F83" i="55" s="1"/>
  <c r="AB69" i="56"/>
  <c r="BH61" i="56"/>
  <c r="BI153" i="56"/>
  <c r="E23" i="55"/>
  <c r="AC26" i="56"/>
  <c r="BH26" i="56" s="1"/>
  <c r="E29" i="55" s="1"/>
  <c r="BJ50" i="56"/>
  <c r="F53" i="55" s="1"/>
  <c r="BK66" i="56"/>
  <c r="G69" i="55" s="1"/>
  <c r="BI87" i="56"/>
  <c r="AC138" i="56"/>
  <c r="AC71" i="56"/>
  <c r="BH41" i="56"/>
  <c r="BK50" i="56"/>
  <c r="G53" i="55" s="1"/>
  <c r="BK120" i="56"/>
  <c r="G121" i="55" s="1"/>
  <c r="AC144" i="56"/>
  <c r="BH124" i="56"/>
  <c r="BK124" i="56" s="1"/>
  <c r="G125" i="55" s="1"/>
  <c r="AB25" i="56"/>
  <c r="BI136" i="56"/>
  <c r="BJ20" i="56"/>
  <c r="F23" i="55" s="1"/>
  <c r="AB154" i="56"/>
  <c r="E120" i="55"/>
  <c r="BK119" i="56"/>
  <c r="G120" i="55" s="1"/>
  <c r="BJ119" i="56"/>
  <c r="F120" i="55" s="1"/>
  <c r="BJ92" i="56"/>
  <c r="F95" i="55" s="1"/>
  <c r="E60" i="55"/>
  <c r="BK57" i="56"/>
  <c r="G60" i="55" s="1"/>
  <c r="BJ57" i="56"/>
  <c r="F60" i="55" s="1"/>
  <c r="BI33" i="56"/>
  <c r="AC33" i="56"/>
  <c r="BI123" i="56"/>
  <c r="AC123" i="56"/>
  <c r="BH21" i="56"/>
  <c r="BI72" i="56"/>
  <c r="BH116" i="56"/>
  <c r="BI124" i="56"/>
  <c r="AC18" i="56"/>
  <c r="BJ44" i="56"/>
  <c r="F47" i="55" s="1"/>
  <c r="E69" i="55"/>
  <c r="BH72" i="56"/>
  <c r="BJ88" i="56"/>
  <c r="F91" i="55" s="1"/>
  <c r="BI116" i="56"/>
  <c r="E129" i="55"/>
  <c r="BH134" i="56"/>
  <c r="BI148" i="56"/>
  <c r="AB34" i="56"/>
  <c r="BH96" i="56"/>
  <c r="AC59" i="56"/>
  <c r="BH104" i="56"/>
  <c r="BH114" i="56"/>
  <c r="BJ114" i="56" s="1"/>
  <c r="F115" i="55" s="1"/>
  <c r="K15" i="58" l="1"/>
  <c r="L15" i="58"/>
  <c r="F69" i="55"/>
  <c r="E18" i="58"/>
  <c r="BK77" i="56"/>
  <c r="G80" i="55" s="1"/>
  <c r="BK118" i="56"/>
  <c r="G119" i="55" s="1"/>
  <c r="BK115" i="56"/>
  <c r="G116" i="55" s="1"/>
  <c r="E111" i="55"/>
  <c r="BH136" i="56"/>
  <c r="BJ136" i="56" s="1"/>
  <c r="F137" i="55" s="1"/>
  <c r="BJ32" i="56"/>
  <c r="F35" i="55" s="1"/>
  <c r="E22" i="55"/>
  <c r="BJ19" i="56"/>
  <c r="F22" i="55" s="1"/>
  <c r="E98" i="55"/>
  <c r="E31" i="55"/>
  <c r="E119" i="55"/>
  <c r="E19" i="55"/>
  <c r="BK113" i="56"/>
  <c r="G114" i="55" s="1"/>
  <c r="BJ39" i="56"/>
  <c r="F42" i="55" s="1"/>
  <c r="BK92" i="56"/>
  <c r="G95" i="55" s="1"/>
  <c r="BJ38" i="56"/>
  <c r="F41" i="55" s="1"/>
  <c r="E55" i="55"/>
  <c r="BJ27" i="56"/>
  <c r="F30" i="55" s="1"/>
  <c r="BJ85" i="56"/>
  <c r="F88" i="55" s="1"/>
  <c r="BK85" i="56"/>
  <c r="G88" i="55" s="1"/>
  <c r="E122" i="55"/>
  <c r="BH73" i="56"/>
  <c r="E76" i="55" s="1"/>
  <c r="BJ65" i="56"/>
  <c r="BJ30" i="56"/>
  <c r="F33" i="55" s="1"/>
  <c r="BH37" i="56"/>
  <c r="BK37" i="56" s="1"/>
  <c r="G40" i="55" s="1"/>
  <c r="BK17" i="56"/>
  <c r="G20" i="55" s="1"/>
  <c r="BJ17" i="56"/>
  <c r="F20" i="55" s="1"/>
  <c r="BJ121" i="56"/>
  <c r="F122" i="55" s="1"/>
  <c r="BH112" i="56"/>
  <c r="E113" i="55" s="1"/>
  <c r="BK52" i="56"/>
  <c r="G55" i="55" s="1"/>
  <c r="BH35" i="56"/>
  <c r="BJ35" i="56" s="1"/>
  <c r="F38" i="55" s="1"/>
  <c r="E33" i="55"/>
  <c r="BH86" i="56"/>
  <c r="BK86" i="56" s="1"/>
  <c r="G89" i="55" s="1"/>
  <c r="BK16" i="56"/>
  <c r="G19" i="55" s="1"/>
  <c r="BJ31" i="56"/>
  <c r="F34" i="55" s="1"/>
  <c r="BK31" i="56"/>
  <c r="G34" i="55" s="1"/>
  <c r="E87" i="55"/>
  <c r="BJ129" i="56"/>
  <c r="F130" i="55" s="1"/>
  <c r="BJ101" i="56"/>
  <c r="F104" i="55" s="1"/>
  <c r="E118" i="55"/>
  <c r="BK38" i="56"/>
  <c r="G41" i="55" s="1"/>
  <c r="BJ115" i="56"/>
  <c r="F116" i="55" s="1"/>
  <c r="BK39" i="56"/>
  <c r="G42" i="55" s="1"/>
  <c r="E68" i="55"/>
  <c r="E114" i="55"/>
  <c r="BH36" i="56"/>
  <c r="E39" i="55" s="1"/>
  <c r="BJ45" i="56"/>
  <c r="F48" i="55" s="1"/>
  <c r="BK129" i="56"/>
  <c r="G130" i="55" s="1"/>
  <c r="BJ21" i="56"/>
  <c r="F24" i="55" s="1"/>
  <c r="BJ77" i="56"/>
  <c r="F80" i="55" s="1"/>
  <c r="E101" i="55"/>
  <c r="BK82" i="56"/>
  <c r="G85" i="55" s="1"/>
  <c r="BJ117" i="56"/>
  <c r="F118" i="55" s="1"/>
  <c r="BH131" i="56"/>
  <c r="BK131" i="56" s="1"/>
  <c r="G132" i="55" s="1"/>
  <c r="BJ29" i="56"/>
  <c r="F32" i="55" s="1"/>
  <c r="E85" i="55"/>
  <c r="E51" i="55"/>
  <c r="BJ48" i="56"/>
  <c r="F51" i="55" s="1"/>
  <c r="BH99" i="56"/>
  <c r="BJ99" i="56" s="1"/>
  <c r="F102" i="55" s="1"/>
  <c r="E94" i="55"/>
  <c r="BJ126" i="56"/>
  <c r="F127" i="55" s="1"/>
  <c r="BK126" i="56"/>
  <c r="G127" i="55" s="1"/>
  <c r="BH22" i="56"/>
  <c r="BK22" i="56" s="1"/>
  <c r="G25" i="55" s="1"/>
  <c r="BK42" i="56"/>
  <c r="G45" i="55" s="1"/>
  <c r="E45" i="55"/>
  <c r="BK21" i="56"/>
  <c r="G24" i="55" s="1"/>
  <c r="F49" i="55"/>
  <c r="E90" i="55"/>
  <c r="E86" i="55"/>
  <c r="BJ104" i="56"/>
  <c r="F107" i="55" s="1"/>
  <c r="BI71" i="56"/>
  <c r="E109" i="55"/>
  <c r="E19" i="58"/>
  <c r="L19" i="58" s="1"/>
  <c r="F77" i="55"/>
  <c r="BJ42" i="56"/>
  <c r="F45" i="55" s="1"/>
  <c r="BJ78" i="56"/>
  <c r="BG140" i="56" s="1"/>
  <c r="E81" i="55"/>
  <c r="BK78" i="56"/>
  <c r="G81" i="55" s="1"/>
  <c r="E133" i="55"/>
  <c r="BI25" i="56"/>
  <c r="BH148" i="56"/>
  <c r="BK148" i="56" s="1"/>
  <c r="G143" i="55" s="1"/>
  <c r="BH71" i="56"/>
  <c r="BK71" i="56" s="1"/>
  <c r="G74" i="55" s="1"/>
  <c r="BI69" i="56"/>
  <c r="E93" i="55"/>
  <c r="E34" i="55"/>
  <c r="BJ73" i="56"/>
  <c r="F76" i="55" s="1"/>
  <c r="BK132" i="56"/>
  <c r="G133" i="55" s="1"/>
  <c r="BJ62" i="56"/>
  <c r="F65" i="55" s="1"/>
  <c r="BH18" i="56"/>
  <c r="E21" i="55" s="1"/>
  <c r="AC69" i="56"/>
  <c r="E65" i="55"/>
  <c r="BJ90" i="56"/>
  <c r="F93" i="55" s="1"/>
  <c r="BK73" i="56"/>
  <c r="G76" i="55" s="1"/>
  <c r="BH59" i="56"/>
  <c r="E62" i="55" s="1"/>
  <c r="BJ134" i="56"/>
  <c r="F135" i="55" s="1"/>
  <c r="BK68" i="56"/>
  <c r="G71" i="55" s="1"/>
  <c r="E71" i="55"/>
  <c r="E52" i="55"/>
  <c r="BK49" i="56"/>
  <c r="G52" i="55" s="1"/>
  <c r="BJ68" i="56"/>
  <c r="F71" i="55" s="1"/>
  <c r="BJ111" i="56"/>
  <c r="F112" i="55" s="1"/>
  <c r="BK111" i="56"/>
  <c r="G112" i="55" s="1"/>
  <c r="E112" i="55"/>
  <c r="BK97" i="56"/>
  <c r="G100" i="55" s="1"/>
  <c r="BJ97" i="56"/>
  <c r="F100" i="55" s="1"/>
  <c r="E100" i="55"/>
  <c r="BJ51" i="56"/>
  <c r="F54" i="55" s="1"/>
  <c r="BK51" i="56"/>
  <c r="G54" i="55" s="1"/>
  <c r="E54" i="55"/>
  <c r="E44" i="55"/>
  <c r="BK41" i="56"/>
  <c r="G44" i="55" s="1"/>
  <c r="BJ41" i="56"/>
  <c r="F44" i="55" s="1"/>
  <c r="BK40" i="56"/>
  <c r="G43" i="55" s="1"/>
  <c r="E135" i="55"/>
  <c r="BJ87" i="56"/>
  <c r="F90" i="55" s="1"/>
  <c r="BJ108" i="56"/>
  <c r="F109" i="55" s="1"/>
  <c r="BJ40" i="56"/>
  <c r="F43" i="55" s="1"/>
  <c r="BK89" i="56"/>
  <c r="G92" i="55" s="1"/>
  <c r="BH125" i="56"/>
  <c r="BK125" i="56" s="1"/>
  <c r="G126" i="55" s="1"/>
  <c r="E82" i="55"/>
  <c r="BK79" i="56"/>
  <c r="G82" i="55" s="1"/>
  <c r="BJ79" i="56"/>
  <c r="F82" i="55" s="1"/>
  <c r="E24" i="55"/>
  <c r="BH142" i="56"/>
  <c r="BK142" i="56" s="1"/>
  <c r="G140" i="55" s="1"/>
  <c r="BJ84" i="56"/>
  <c r="F87" i="55" s="1"/>
  <c r="BJ91" i="56"/>
  <c r="F94" i="55" s="1"/>
  <c r="E125" i="55"/>
  <c r="BK76" i="56"/>
  <c r="G79" i="55" s="1"/>
  <c r="BJ76" i="56"/>
  <c r="F79" i="55" s="1"/>
  <c r="E79" i="55"/>
  <c r="E131" i="55"/>
  <c r="BK130" i="56"/>
  <c r="G131" i="55" s="1"/>
  <c r="BJ130" i="56"/>
  <c r="F131" i="55" s="1"/>
  <c r="BK45" i="56"/>
  <c r="G48" i="55" s="1"/>
  <c r="BK47" i="56"/>
  <c r="G50" i="55" s="1"/>
  <c r="E92" i="55"/>
  <c r="E107" i="55"/>
  <c r="BH105" i="56"/>
  <c r="BK105" i="56" s="1"/>
  <c r="G108" i="55" s="1"/>
  <c r="BH123" i="56"/>
  <c r="BK123" i="56" s="1"/>
  <c r="G124" i="55" s="1"/>
  <c r="BJ47" i="56"/>
  <c r="F50" i="55" s="1"/>
  <c r="BJ83" i="56"/>
  <c r="F86" i="55" s="1"/>
  <c r="AC25" i="56"/>
  <c r="E83" i="55"/>
  <c r="BK80" i="56"/>
  <c r="G83" i="55" s="1"/>
  <c r="BH153" i="56"/>
  <c r="E145" i="55" s="1"/>
  <c r="E64" i="55"/>
  <c r="BJ61" i="56"/>
  <c r="F64" i="55" s="1"/>
  <c r="BK61" i="56"/>
  <c r="G64" i="55" s="1"/>
  <c r="BK72" i="56"/>
  <c r="G75" i="55" s="1"/>
  <c r="BJ72" i="56"/>
  <c r="F75" i="55" s="1"/>
  <c r="E75" i="55"/>
  <c r="BI154" i="56"/>
  <c r="E89" i="55"/>
  <c r="BJ124" i="56"/>
  <c r="F125" i="55" s="1"/>
  <c r="BH33" i="56"/>
  <c r="BK33" i="56" s="1"/>
  <c r="G36" i="55" s="1"/>
  <c r="E115" i="55"/>
  <c r="BH69" i="56"/>
  <c r="BJ116" i="56"/>
  <c r="F117" i="55" s="1"/>
  <c r="BK116" i="56"/>
  <c r="G117" i="55" s="1"/>
  <c r="E117" i="55"/>
  <c r="BK134" i="56"/>
  <c r="G135" i="55" s="1"/>
  <c r="E48" i="55"/>
  <c r="BK104" i="56"/>
  <c r="G107" i="55" s="1"/>
  <c r="BI34" i="56"/>
  <c r="AC34" i="56"/>
  <c r="BJ96" i="56"/>
  <c r="E99" i="55"/>
  <c r="BK96" i="56"/>
  <c r="G99" i="55" s="1"/>
  <c r="BJ26" i="56"/>
  <c r="F29" i="55" s="1"/>
  <c r="F68" i="55" l="1"/>
  <c r="E17" i="58"/>
  <c r="L18" i="58"/>
  <c r="K18" i="58"/>
  <c r="F99" i="55"/>
  <c r="BK136" i="56"/>
  <c r="G137" i="55" s="1"/>
  <c r="E137" i="55"/>
  <c r="BJ112" i="56"/>
  <c r="F113" i="55" s="1"/>
  <c r="BJ86" i="56"/>
  <c r="F89" i="55" s="1"/>
  <c r="E74" i="55"/>
  <c r="BJ36" i="56"/>
  <c r="F39" i="55" s="1"/>
  <c r="BK35" i="56"/>
  <c r="G38" i="55" s="1"/>
  <c r="E38" i="55"/>
  <c r="BJ142" i="56"/>
  <c r="F140" i="55" s="1"/>
  <c r="BJ22" i="56"/>
  <c r="F25" i="55" s="1"/>
  <c r="K19" i="58"/>
  <c r="BJ59" i="56"/>
  <c r="F62" i="55" s="1"/>
  <c r="BH25" i="56"/>
  <c r="BJ25" i="56" s="1"/>
  <c r="F28" i="55" s="1"/>
  <c r="E143" i="55"/>
  <c r="BK112" i="56"/>
  <c r="G113" i="55" s="1"/>
  <c r="BJ37" i="56"/>
  <c r="F40" i="55" s="1"/>
  <c r="E102" i="55"/>
  <c r="BK36" i="56"/>
  <c r="G39" i="55" s="1"/>
  <c r="E40" i="55"/>
  <c r="E25" i="55"/>
  <c r="BJ148" i="56"/>
  <c r="F143" i="55" s="1"/>
  <c r="BJ131" i="56"/>
  <c r="F132" i="55" s="1"/>
  <c r="E124" i="55"/>
  <c r="BJ18" i="56"/>
  <c r="F21" i="55" s="1"/>
  <c r="E132" i="55"/>
  <c r="BG146" i="56"/>
  <c r="BK146" i="56" s="1"/>
  <c r="G141" i="55" s="1"/>
  <c r="E140" i="55"/>
  <c r="F81" i="55"/>
  <c r="BK59" i="56"/>
  <c r="G62" i="55" s="1"/>
  <c r="BJ140" i="56"/>
  <c r="F138" i="55" s="1"/>
  <c r="BH140" i="56"/>
  <c r="E138" i="55" s="1"/>
  <c r="BK18" i="56"/>
  <c r="G21" i="55" s="1"/>
  <c r="BJ105" i="56"/>
  <c r="F108" i="55" s="1"/>
  <c r="BJ71" i="56"/>
  <c r="F74" i="55" s="1"/>
  <c r="BJ125" i="56"/>
  <c r="F126" i="55" s="1"/>
  <c r="E36" i="55"/>
  <c r="E108" i="55"/>
  <c r="E126" i="55"/>
  <c r="BJ123" i="56"/>
  <c r="F124" i="55" s="1"/>
  <c r="BJ33" i="56"/>
  <c r="F36" i="55" s="1"/>
  <c r="BK153" i="56"/>
  <c r="G145" i="55" s="1"/>
  <c r="BH34" i="56"/>
  <c r="E37" i="55" s="1"/>
  <c r="BK140" i="56"/>
  <c r="G138" i="55" s="1"/>
  <c r="BJ153" i="56"/>
  <c r="F145" i="55" s="1"/>
  <c r="BH154" i="56"/>
  <c r="BK154" i="56" s="1"/>
  <c r="G146" i="55" s="1"/>
  <c r="BK69" i="56"/>
  <c r="G72" i="55" s="1"/>
  <c r="E72" i="55"/>
  <c r="BJ69" i="56"/>
  <c r="F72" i="55" s="1"/>
  <c r="L17" i="58" l="1"/>
  <c r="K17" i="58"/>
  <c r="E28" i="55"/>
  <c r="BK25" i="56"/>
  <c r="G28" i="55" s="1"/>
  <c r="BG152" i="56"/>
  <c r="BJ152" i="56" s="1"/>
  <c r="F144" i="55" s="1"/>
  <c r="BJ146" i="56"/>
  <c r="F141" i="55" s="1"/>
  <c r="BH146" i="56"/>
  <c r="E141" i="55" s="1"/>
  <c r="E146" i="55"/>
  <c r="BJ34" i="56"/>
  <c r="F37" i="55" s="1"/>
  <c r="BJ154" i="56"/>
  <c r="F146" i="55" s="1"/>
  <c r="BK34" i="56"/>
  <c r="G37" i="55" s="1"/>
  <c r="BH152" i="56" l="1"/>
  <c r="E144" i="55" s="1"/>
  <c r="BK152" i="56"/>
  <c r="G144" i="55" s="1"/>
</calcChain>
</file>

<file path=xl/sharedStrings.xml><?xml version="1.0" encoding="utf-8"?>
<sst xmlns="http://schemas.openxmlformats.org/spreadsheetml/2006/main" count="1544" uniqueCount="491">
  <si>
    <t>х 222 се</t>
  </si>
  <si>
    <t>х 084 нв</t>
  </si>
  <si>
    <t>м 743 ск</t>
  </si>
  <si>
    <t>т 839 оо</t>
  </si>
  <si>
    <t>х 465 рм</t>
  </si>
  <si>
    <t xml:space="preserve">Исполнитель </t>
  </si>
  <si>
    <t>н 902 тк</t>
  </si>
  <si>
    <t>к 766 рн</t>
  </si>
  <si>
    <t>Государственный номер</t>
  </si>
  <si>
    <t>доплата за классность</t>
  </si>
  <si>
    <t>летняя</t>
  </si>
  <si>
    <t>Приложение № 1____к приказу</t>
  </si>
  <si>
    <t>Среднегодовая</t>
  </si>
  <si>
    <t xml:space="preserve">экскаватор HYUNDAI ковш 1 м3 </t>
  </si>
  <si>
    <t>4753 рт</t>
  </si>
  <si>
    <t>Тойота Камри</t>
  </si>
  <si>
    <t>У 121 УУ</t>
  </si>
  <si>
    <t xml:space="preserve">автомобиль ВАЗ-21053  легковой </t>
  </si>
  <si>
    <t>к 491 мв</t>
  </si>
  <si>
    <t xml:space="preserve">автомобиль ВАЗ-21074  легковой </t>
  </si>
  <si>
    <t>к 174 ха</t>
  </si>
  <si>
    <t>к 173 ха</t>
  </si>
  <si>
    <t>к 175 ха</t>
  </si>
  <si>
    <t>а 777 св</t>
  </si>
  <si>
    <t>н 322 ус</t>
  </si>
  <si>
    <t>н 323 ус</t>
  </si>
  <si>
    <t xml:space="preserve">автомобиль ГАЗ-53 12 вакуумная  асцистерна </t>
  </si>
  <si>
    <t>е 222 се</t>
  </si>
  <si>
    <t>о 777 св</t>
  </si>
  <si>
    <t xml:space="preserve"> у 777 св </t>
  </si>
  <si>
    <t xml:space="preserve">автомобиль ГАЗ 3307 грузовой фургон  </t>
  </si>
  <si>
    <t>р 888 се</t>
  </si>
  <si>
    <t>н 862 рк</t>
  </si>
  <si>
    <t xml:space="preserve">автомобиль ГАЗ 3307 специальный фургон </t>
  </si>
  <si>
    <t>в 388 кв</t>
  </si>
  <si>
    <t>н 444 св</t>
  </si>
  <si>
    <t xml:space="preserve">автомобиль УАЗ 31514 специальный пассажирский микроавтобус </t>
  </si>
  <si>
    <t xml:space="preserve">автомобиль Форд  Транзит 350 грузовой  фургон </t>
  </si>
  <si>
    <t>х 116 ха</t>
  </si>
  <si>
    <t>р 222 ст</t>
  </si>
  <si>
    <t>т 973 са</t>
  </si>
  <si>
    <t>в 421 кх</t>
  </si>
  <si>
    <t xml:space="preserve">у 970 кх </t>
  </si>
  <si>
    <t>а 653 сн</t>
  </si>
  <si>
    <t>к 363 ко</t>
  </si>
  <si>
    <t xml:space="preserve">т 361 км </t>
  </si>
  <si>
    <t>е 111 рм</t>
  </si>
  <si>
    <t>а 111 ск</t>
  </si>
  <si>
    <t>р 777 се</t>
  </si>
  <si>
    <t>н 869 рк</t>
  </si>
  <si>
    <t>а 333 ск</t>
  </si>
  <si>
    <t>р 061 рк</t>
  </si>
  <si>
    <t>0644 рн</t>
  </si>
  <si>
    <t>х 831 ее</t>
  </si>
  <si>
    <t>Часовая тарифная ставка, руб.</t>
  </si>
  <si>
    <t>Надбавки</t>
  </si>
  <si>
    <t>вредность</t>
  </si>
  <si>
    <t>ночные</t>
  </si>
  <si>
    <t>празд-ные, руб.</t>
  </si>
  <si>
    <t>Премия</t>
  </si>
  <si>
    <t>район. коэф.</t>
  </si>
  <si>
    <t>сев. над.</t>
  </si>
  <si>
    <t>%</t>
  </si>
  <si>
    <t>сумма, руб.</t>
  </si>
  <si>
    <t>итого зарплата, руб.</t>
  </si>
  <si>
    <t>доплата за профмастерство</t>
  </si>
  <si>
    <t>Наименование топлива</t>
  </si>
  <si>
    <t>1</t>
  </si>
  <si>
    <t>х 832 ее</t>
  </si>
  <si>
    <t>х 819 ее</t>
  </si>
  <si>
    <r>
      <t xml:space="preserve">автомобиль FORD TRANSIT VAN специальный </t>
    </r>
    <r>
      <rPr>
        <b/>
        <sz val="12"/>
        <rFont val="Times New Roman Cyr"/>
        <charset val="204"/>
      </rPr>
      <t/>
    </r>
  </si>
  <si>
    <t>с 558 хв</t>
  </si>
  <si>
    <t>Наименование смазочных материалов</t>
  </si>
  <si>
    <t>Цена 1 л смазочных материалов, руб.</t>
  </si>
  <si>
    <t>затраты на смазочные материалы, руб.</t>
  </si>
  <si>
    <t>среднечасовой пробег, км</t>
  </si>
  <si>
    <t>Цена 1 автошины, руб.</t>
  </si>
  <si>
    <t>Количество колёс, шт.</t>
  </si>
  <si>
    <t>затраты на автошины, руб.</t>
  </si>
  <si>
    <t>итого тариф 1 машино - часа (без НДС) для использования во взаимоотношениях со сторонними организациями,  руб.</t>
  </si>
  <si>
    <t>нормы расхода топлива, л на 100 км пробега (1 час работы механизма)</t>
  </si>
  <si>
    <t>Марка автомобиля, механизма</t>
  </si>
  <si>
    <t>№ п/п</t>
  </si>
  <si>
    <t>Дизельное топливо</t>
  </si>
  <si>
    <t>бензин АИ - 92</t>
  </si>
  <si>
    <t>бензин АИ - 80</t>
  </si>
  <si>
    <t>Дизельное топливо ЕВРО</t>
  </si>
  <si>
    <t>бензин АИ - 95</t>
  </si>
  <si>
    <t xml:space="preserve">Дизельное топливо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</si>
  <si>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</si>
  <si>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</si>
  <si>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</si>
  <si>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</si>
  <si>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</si>
  <si>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</si>
  <si>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</si>
  <si>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</si>
  <si>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</si>
  <si>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</si>
  <si>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</si>
  <si>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</si>
  <si>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</si>
  <si>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</si>
  <si>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</si>
  <si>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</si>
  <si>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</si>
  <si>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</si>
  <si>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</si>
  <si>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</si>
  <si>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</si>
  <si>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</si>
  <si>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</si>
  <si>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</si>
  <si>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</si>
  <si>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</si>
  <si>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</si>
  <si>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</si>
  <si>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</si>
  <si>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</si>
  <si>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</si>
  <si>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</si>
  <si>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</si>
  <si>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</si>
  <si>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</si>
  <si>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</si>
  <si>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</si>
  <si>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</si>
  <si>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</si>
  <si>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</si>
  <si>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</si>
  <si>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</si>
  <si>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</si>
  <si>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</si>
  <si>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</si>
  <si>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</si>
  <si>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</si>
  <si>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</si>
  <si>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</si>
  <si>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</si>
  <si>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</si>
  <si>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</si>
  <si>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</si>
  <si>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</si>
  <si>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</si>
  <si>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</si>
  <si>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64</t>
  </si>
  <si>
    <t>61</t>
  </si>
  <si>
    <t>62</t>
  </si>
  <si>
    <t>63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</si>
  <si>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</si>
  <si>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</si>
  <si>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</si>
  <si>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</si>
  <si>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</si>
  <si>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</si>
  <si>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</si>
  <si>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</si>
  <si>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</si>
  <si>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</si>
  <si>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</si>
  <si>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</si>
  <si>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</si>
  <si>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</si>
  <si>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</si>
  <si>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</si>
  <si>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91</t>
  </si>
  <si>
    <t>Название нормы работы спецоборудования</t>
  </si>
  <si>
    <t>Время работы спецоборудования в расчёте на 1 час эксплуатации автомобиля, час.</t>
  </si>
  <si>
    <t>затраты топлива на работу спецоборудования, руб.</t>
  </si>
  <si>
    <t>затраты топлива всего, руб.</t>
  </si>
  <si>
    <t>работа насоса</t>
  </si>
  <si>
    <t>затраты топлива на пробег - 23 км, (работу механизма - 1 час), руб.</t>
  </si>
  <si>
    <t>Масло моторное М-10ДМ</t>
  </si>
  <si>
    <t>Масло моторное Экстра 10w40</t>
  </si>
  <si>
    <t>Масло моторное М-8В</t>
  </si>
  <si>
    <t>Масло моторное ЗМЗ 10w40</t>
  </si>
  <si>
    <t>Нормы расхода смазочных материалов, л на 100 л расхода топлива</t>
  </si>
  <si>
    <t>Пробег автомобиля, км (время работы механизма, час.) до полной амортизации шин</t>
  </si>
  <si>
    <t>наименование шин</t>
  </si>
  <si>
    <t>280Р508(10.00Р20) ОИ-73Б с/к Ом</t>
  </si>
  <si>
    <t>1220х400х533</t>
  </si>
  <si>
    <t>260Р508(9.00Р20)0-40 БМ-1с/к Ом</t>
  </si>
  <si>
    <t>1) 11,2х20 Ф35 с/к Волтаир 2) 15,5 Р 38 Ф-2А Сх/ш</t>
  </si>
  <si>
    <t>5237,29      11884,75</t>
  </si>
  <si>
    <t>2                                                         2</t>
  </si>
  <si>
    <t>195х65</t>
  </si>
  <si>
    <t>240Р508 (8,25Р20) У-2 с/к Алтай</t>
  </si>
  <si>
    <t>225/75Р16С Кама-218 б/к</t>
  </si>
  <si>
    <t>8/40-15 Z245 c/к Бр</t>
  </si>
  <si>
    <t>225/75Р16 Cordiant OFF ROAD</t>
  </si>
  <si>
    <t>215х75 Р16</t>
  </si>
  <si>
    <t>без НДС,  руб.</t>
  </si>
  <si>
    <t>№№ п/п</t>
  </si>
  <si>
    <t>ТАРИФЫ НА РАБОТЫ И УСЛУГИ,</t>
  </si>
  <si>
    <t>1 машино - час</t>
  </si>
  <si>
    <t>Марка автомобилей и механизмов</t>
  </si>
  <si>
    <t>итого тариф 1 машино - часа (без НДС) для использования во взаимоотношениях с работниками предприятия,  руб.</t>
  </si>
  <si>
    <t>для структурных подразделений предприятия, сторонних организаций и работников предприятия</t>
  </si>
  <si>
    <t>итого тариф 1 машино - часа (без НДС) для использования в отношениях со структурными подразделениями предприятия,  руб.</t>
  </si>
  <si>
    <t xml:space="preserve">Калькуляции стоимости 1 машино - часа эксплуатации автомобилей и механизмов для структурных подразделений предприятия, сторонних организаций и работников предприятия </t>
  </si>
  <si>
    <t>Дт ЕВРО</t>
  </si>
  <si>
    <t>225х75 R16C</t>
  </si>
  <si>
    <t xml:space="preserve"> обслуживание оборудования</t>
  </si>
  <si>
    <t>базовая</t>
  </si>
  <si>
    <t>а 383 хс</t>
  </si>
  <si>
    <t>а 384 хс</t>
  </si>
  <si>
    <t>а 385 хс</t>
  </si>
  <si>
    <t>а 541 хс</t>
  </si>
  <si>
    <t>а 984 хс</t>
  </si>
  <si>
    <t>м 487 хс</t>
  </si>
  <si>
    <t>м 488 хс</t>
  </si>
  <si>
    <t>м 489 хс</t>
  </si>
  <si>
    <t>ДЭУ Новус кран - борт</t>
  </si>
  <si>
    <t>Фиат Дукато  микроавтобус дежурный</t>
  </si>
  <si>
    <t>Фиат Дукато  микроавтобус</t>
  </si>
  <si>
    <t>амортизация (лизинговые платежи) по автомобилю (механизму) на 1 машино - час, руб.</t>
  </si>
  <si>
    <t>Начальник ПЭО</t>
  </si>
  <si>
    <t>Г.В. Брюхнова</t>
  </si>
  <si>
    <t>выполняемые автомобилями и механизмами МУП "Водоканал" г. Иркутска</t>
  </si>
  <si>
    <t>м 014 км</t>
  </si>
  <si>
    <t>Марка автомобилей - водовозок</t>
  </si>
  <si>
    <t>потребителям с использованием автомобилей - водовозок предприятия</t>
  </si>
  <si>
    <t>Объём воды в цистерне автомобиля, м куб.</t>
  </si>
  <si>
    <t>тариф 1 машино-часа эксплуатации автомобиля для сторонних организаций</t>
  </si>
  <si>
    <t xml:space="preserve">Тарифы 1 машино - часа выполнения работы по доставке воды </t>
  </si>
  <si>
    <t xml:space="preserve">Примечание: стоимость выполнения работы по доставке воды потребителям будет равна сумме </t>
  </si>
  <si>
    <t xml:space="preserve">произведения количества часов работы автомобиля  на тариф 1 машино - часа его эксплуатации </t>
  </si>
  <si>
    <t>215/55R17</t>
  </si>
  <si>
    <t>215/55 R16</t>
  </si>
  <si>
    <t>Экскаватор Катерпиллер м 318D</t>
  </si>
  <si>
    <t>Экскаватор - погрузчик Катерпиллер 428 F</t>
  </si>
  <si>
    <t>РС 0517</t>
  </si>
  <si>
    <t>РС 0520</t>
  </si>
  <si>
    <t>РС 0519</t>
  </si>
  <si>
    <t>РС 0518</t>
  </si>
  <si>
    <t xml:space="preserve">Форд Фокус  </t>
  </si>
  <si>
    <t xml:space="preserve">Форд Мондео </t>
  </si>
  <si>
    <t xml:space="preserve">Фиат Дукато  с оборудованием для цеха сети водопровода </t>
  </si>
  <si>
    <t xml:space="preserve">Фиат Дукато с оборудованием для цеха сети канализации </t>
  </si>
  <si>
    <t xml:space="preserve">Фиат Дукато с оборудованием для цеха сети водопровода </t>
  </si>
  <si>
    <t>работа крановой установки</t>
  </si>
  <si>
    <t>"УТВЕРЖДАЮ"</t>
  </si>
  <si>
    <t>автомобиль ГАЗ-3307КО 503В специальная асцистерна  гр.4,5т)</t>
  </si>
  <si>
    <t>автомобиль ГАЗ-3307 КО 503В  асцистерна  гр.4,5т</t>
  </si>
  <si>
    <t>автомобиль ГАЗ-3307 КО 503В асцистерна   гр.4,5т</t>
  </si>
  <si>
    <t>автомобиль КАМАЗ 55111 самосвал.  гр.13т</t>
  </si>
  <si>
    <t>автомобиль КАМАЗ 55111 самосвал. гр.13т</t>
  </si>
  <si>
    <t>автомобиль КАМАЗ 65115 самосвал.  гр.15т</t>
  </si>
  <si>
    <t>автомобиль КАМАЗ 65115 самосвал. гр.15т</t>
  </si>
  <si>
    <t>автомобиль КАМАЗ 43101 бортовой  гр.15т</t>
  </si>
  <si>
    <t>автомобиль КАМАЗ 53213 КО 505 А цистерна  гр.10т</t>
  </si>
  <si>
    <t>автомобиль КАМАЗ КО-505А вакуумная цистерна  гр.10т</t>
  </si>
  <si>
    <t>автомобиль КАМАЗ КО 514 цистерна  гр.13т</t>
  </si>
  <si>
    <t>автомобиль КАМАЗ-565869 цистерна  гр.10 т</t>
  </si>
  <si>
    <t>автомобиль КАМАЗ-65115 ДКТ 275   гр.8 т</t>
  </si>
  <si>
    <t>автомобиль SKANIA Р 380 специальный  дл.12м</t>
  </si>
  <si>
    <t>тариф для сторонних организаций без НДС, руб.</t>
  </si>
  <si>
    <t>тариф для работников предприятия без НДС, руб.</t>
  </si>
  <si>
    <t>Ед. изм.</t>
  </si>
  <si>
    <t>тариф для расчетов со структурными подразделениями предприятия</t>
  </si>
  <si>
    <t xml:space="preserve">Приложение 3 </t>
  </si>
  <si>
    <t>Приложение 2</t>
  </si>
  <si>
    <t>автомобиль HYUNDAI GOLD HD 120 Extra Long</t>
  </si>
  <si>
    <t>работа насосной установки</t>
  </si>
  <si>
    <t>Масло моторное  Люкс SAE 15W40 5л</t>
  </si>
  <si>
    <t>8.25х16-16PR</t>
  </si>
  <si>
    <t>Масло моторное Ford Castrol Magnatec 5w30</t>
  </si>
  <si>
    <t>Масло моторное CAT DEO SAE 10w-30</t>
  </si>
  <si>
    <t>тел. 214-640</t>
  </si>
  <si>
    <t>поощрение за труд к отпуску, руб.</t>
  </si>
  <si>
    <t>выслуга лет (6 %), руб.</t>
  </si>
  <si>
    <t>13 зарплата  (7 %), руб.</t>
  </si>
  <si>
    <t>Всего зарплата, руб.</t>
  </si>
  <si>
    <t>р 932 хм</t>
  </si>
  <si>
    <t xml:space="preserve">е 610 хм </t>
  </si>
  <si>
    <t>р 933 хм</t>
  </si>
  <si>
    <t>р 934 хм</t>
  </si>
  <si>
    <t>Рентабельность для использования во взаимоотношениях со сторонними организациями 20 % от зарплаты рабочих, руб.</t>
  </si>
  <si>
    <t xml:space="preserve"> м 254 нм </t>
  </si>
  <si>
    <t>автомобиль КАМАЗ 55111 самосвал.гр.13т</t>
  </si>
  <si>
    <t>Экскаватор - погрузчик Катерпиллер 434 F</t>
  </si>
  <si>
    <t>РС 4166</t>
  </si>
  <si>
    <t>РС 4167</t>
  </si>
  <si>
    <t>Автомобиль Hino (кран - борт)</t>
  </si>
  <si>
    <t>А 337 АВ</t>
  </si>
  <si>
    <t>РС 4165</t>
  </si>
  <si>
    <t>10,00-20 dual pneumatic</t>
  </si>
  <si>
    <t>12,5/80-18R4                                    18.4 - 26 R1</t>
  </si>
  <si>
    <t>7966,1                      19213,56</t>
  </si>
  <si>
    <t>2                           2</t>
  </si>
  <si>
    <t>18.4 - 26 R1</t>
  </si>
  <si>
    <t>225х75 R17,5</t>
  </si>
  <si>
    <t>СсангЙонг Экшн Спортс</t>
  </si>
  <si>
    <t>Н 222 СВ</t>
  </si>
  <si>
    <t>автомобиль Камаз 797912 (ДКТ-285) на шасси КАМАЗ 4308</t>
  </si>
  <si>
    <t>К225АК</t>
  </si>
  <si>
    <t>автомобиль Камаз 797910 (ДКТ-275) на шасси КАМАЗ 65115</t>
  </si>
  <si>
    <t>К226АК</t>
  </si>
  <si>
    <t>Fiat DOBLO CARGO</t>
  </si>
  <si>
    <t>Т 032 АВ</t>
  </si>
  <si>
    <t>175/70 R 14 82H</t>
  </si>
  <si>
    <t>FORD TRANSIT VAN</t>
  </si>
  <si>
    <t>Форд Торнео Кустом</t>
  </si>
  <si>
    <t>195/65 R15</t>
  </si>
  <si>
    <t>в 977 аа</t>
  </si>
  <si>
    <t>в 978 аа</t>
  </si>
  <si>
    <t>начисления на зарплату (30,2 %), руб.</t>
  </si>
  <si>
    <t>Должность рабочего, обслуживающего технику</t>
  </si>
  <si>
    <t>Разряд</t>
  </si>
  <si>
    <t>Транспортные расходы на доставку</t>
  </si>
  <si>
    <t>машинист экскаватора</t>
  </si>
  <si>
    <t>водитель автомобиля</t>
  </si>
  <si>
    <t>водитель автомобиля (дежурный)</t>
  </si>
  <si>
    <t>водитель погрузчика</t>
  </si>
  <si>
    <t>Хюндай Портер 2</t>
  </si>
  <si>
    <t>Х 771 АВ</t>
  </si>
  <si>
    <t>Х 772 АВ</t>
  </si>
  <si>
    <t>Х 773 АВ</t>
  </si>
  <si>
    <t>Х 774 АВ</t>
  </si>
  <si>
    <t>Х 775 АВ</t>
  </si>
  <si>
    <t>Масло моторное Castrol GTX А3/В3 4651220060 5W40</t>
  </si>
  <si>
    <t>195/70R15C - 6PR                            145R13C</t>
  </si>
  <si>
    <t xml:space="preserve">3995                                                                            3060                                                   </t>
  </si>
  <si>
    <t>2                                                                                    4</t>
  </si>
  <si>
    <t>Ссанг Йонг Экшн Спортс (АКПП)</t>
  </si>
  <si>
    <t>Х 436 АВ</t>
  </si>
  <si>
    <t>Х 437 АВ</t>
  </si>
  <si>
    <t>Х 438 АВ</t>
  </si>
  <si>
    <t>Х 439 АВ</t>
  </si>
  <si>
    <t>Х 440 АВ</t>
  </si>
  <si>
    <t>Ссанг Йонг Экшн Спортс (МКПП)</t>
  </si>
  <si>
    <t>Х 441 АВ</t>
  </si>
  <si>
    <t>Х 944 АВ</t>
  </si>
  <si>
    <t>Х 943 АВ</t>
  </si>
  <si>
    <t>автомобиль Камаз 489535 на шасси КАМАЗ 43118</t>
  </si>
  <si>
    <t>М 130 АВ</t>
  </si>
  <si>
    <t>М 132 АВ</t>
  </si>
  <si>
    <t>экскаватор многоковшовый траншейный цепной ЭТЦ – 2086</t>
  </si>
  <si>
    <t>РС5311</t>
  </si>
  <si>
    <t>РС5312</t>
  </si>
  <si>
    <t>РС4300</t>
  </si>
  <si>
    <t>автомобиль Фиат Дукато специальный</t>
  </si>
  <si>
    <t>А246АВ</t>
  </si>
  <si>
    <t>А251АВ</t>
  </si>
  <si>
    <t>А252АВ</t>
  </si>
  <si>
    <t>А253АВ</t>
  </si>
  <si>
    <t>А254АВ</t>
  </si>
  <si>
    <t>А255АВ</t>
  </si>
  <si>
    <t>А256АВ</t>
  </si>
  <si>
    <t>А257АВ</t>
  </si>
  <si>
    <t>А258АВ</t>
  </si>
  <si>
    <t>А259АВ</t>
  </si>
  <si>
    <t>Экскаватор - погрузчик Катерпиллер 216 В</t>
  </si>
  <si>
    <t xml:space="preserve">работа крановой установки </t>
  </si>
  <si>
    <t>10х16,5</t>
  </si>
  <si>
    <t>автомобиль Моrо SW11Е на базе автомобиля Iveco Stralis 6х2, специальный</t>
  </si>
  <si>
    <t>К 372 АМ</t>
  </si>
  <si>
    <t xml:space="preserve">Fiat DOBLO </t>
  </si>
  <si>
    <t>К 374 АМ</t>
  </si>
  <si>
    <t>295/60 R22.5</t>
  </si>
  <si>
    <t>К 613 АМ</t>
  </si>
  <si>
    <t>К 614 АМ</t>
  </si>
  <si>
    <t>Фиат Дукато</t>
  </si>
  <si>
    <t>М 539 АН</t>
  </si>
  <si>
    <t>Машина для направленного горизонтального бурения UNIVERSAL UNI 60 x 70 усиленная c 2 мотопомпами SKAT МПБ - 1300</t>
  </si>
  <si>
    <t>без перевозки</t>
  </si>
  <si>
    <t>Слесарь АВР - 1 чел.</t>
  </si>
  <si>
    <t>дизельное топливо</t>
  </si>
  <si>
    <t>Масло моторное JoHn Deere Plus - 50</t>
  </si>
  <si>
    <t>Слесарь АВР - 2 чел.</t>
  </si>
  <si>
    <t>Слесарь АВР - 3 чел.</t>
  </si>
  <si>
    <t>инженер 1 кат. ремонтного цеха - 1 чел.</t>
  </si>
  <si>
    <t>с перевозкой (автомобили КАМАЗ 5410  тягач и  Дэу Новус кран - борт)</t>
  </si>
  <si>
    <t>Машина для направленного горизонтального бурения Vermeer Navigator D7 x 11 A c 1 мотопомпой SKAT МПБ - 1300</t>
  </si>
  <si>
    <t>инженер 1 кат. Ремонтного цеха - 1 чел.</t>
  </si>
  <si>
    <t>с перевозкой автомобилем ДЭУ - Новус кран - борт</t>
  </si>
  <si>
    <t>Форд Рейнджер</t>
  </si>
  <si>
    <t>К 777 СЕ</t>
  </si>
  <si>
    <t>235/75 R15</t>
  </si>
  <si>
    <t>В 820 АМ</t>
  </si>
  <si>
    <t>Форд Транзит 3227 SD с экспресс - лабораторией</t>
  </si>
  <si>
    <t>М 899 УН</t>
  </si>
  <si>
    <t>начальник электролаборатории</t>
  </si>
  <si>
    <t>работа лаборатории высоковольтных испытаний</t>
  </si>
  <si>
    <t>инженер 1 кат. Электролаборатории</t>
  </si>
  <si>
    <t>Илососная машина ТКМ – 670 на шасси автомобиля Форд Карго</t>
  </si>
  <si>
    <t>Е 036 УС</t>
  </si>
  <si>
    <t>315/80 R 22,5</t>
  </si>
  <si>
    <t>А 276 АН</t>
  </si>
  <si>
    <t>Фиат Добло</t>
  </si>
  <si>
    <t>А 297 АН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</si>
  <si>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</si>
  <si>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</si>
  <si>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</si>
  <si>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</si>
  <si>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</si>
  <si>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</si>
  <si>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</si>
  <si>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</si>
  <si>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</si>
  <si>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</si>
  <si>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</si>
  <si>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</si>
  <si>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</si>
  <si>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</si>
  <si>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</si>
  <si>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</si>
  <si>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</si>
  <si>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</si>
  <si>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</si>
  <si>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</si>
  <si>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</si>
  <si>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</si>
  <si>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</si>
  <si>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</si>
  <si>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</si>
  <si>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</si>
  <si>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</si>
  <si>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</si>
  <si>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</si>
  <si>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х 366 хт</t>
  </si>
  <si>
    <t>х 367 хт</t>
  </si>
  <si>
    <t>Машина для направленного горизонтального бурения UNIVERSAL HDD UNI 20 x 22  c 1 мотопомпой SKAT МПБ - 1300</t>
  </si>
  <si>
    <t>РР 2212</t>
  </si>
  <si>
    <t>с перевозкой (арендуемый автомобиль эвакуатор 5 тн и  Дэу Новус кран - борт)</t>
  </si>
  <si>
    <t>автомобиль HYUNDAI GOLD HD 120 Extra Long (илосос)</t>
  </si>
  <si>
    <t>А 699 АН</t>
  </si>
  <si>
    <t>Пежо Боксер (грузовой фургон)</t>
  </si>
  <si>
    <t>Р 427 УТ</t>
  </si>
  <si>
    <t xml:space="preserve">зимняя надбавка  - 18 % </t>
  </si>
  <si>
    <t>с 9 % надбавкой (ноябрь, март, апрель)</t>
  </si>
  <si>
    <t>в208му</t>
  </si>
  <si>
    <t xml:space="preserve">водитель автомобиля </t>
  </si>
  <si>
    <t>электроэнергия НН</t>
  </si>
  <si>
    <t xml:space="preserve">погрузчик Koматsu FG 15 17 </t>
  </si>
  <si>
    <t>А 376 АУ</t>
  </si>
  <si>
    <t>35</t>
  </si>
  <si>
    <t>стоимость 1 м. куб. питьевой воды для населения</t>
  </si>
  <si>
    <t>стоимость 1 м. куб. питьевой воды для прочих потребителей</t>
  </si>
  <si>
    <t>общая стоимость воды в цистерне автомобиля для населения</t>
  </si>
  <si>
    <t>общая стоимость воды в цистерне автомобиля для прочих потребителей</t>
  </si>
  <si>
    <t>тариф 1 машино-часа выполнения работы по доставке воды населению</t>
  </si>
  <si>
    <t>тариф 1 машино-часа выполнения работы по доставке воды прочим потребителям</t>
  </si>
  <si>
    <r>
      <t xml:space="preserve">автомобиль КАМАЗ 5320 цистерна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гр.10 т</t>
    </r>
  </si>
  <si>
    <r>
      <t xml:space="preserve">автомобиль (дежурный) ЗИЛ МДК 433362 комбинированный 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гр. 6 т</t>
    </r>
  </si>
  <si>
    <t xml:space="preserve">(гр. 5 таблицы) и общей стоимости воды в цистерне (гр. 9, 10 таблицы) </t>
  </si>
  <si>
    <t>34</t>
  </si>
  <si>
    <t>автомобиль ЗИЛ-433362</t>
  </si>
  <si>
    <t>автомобиль ГАЗ-3307  асцистерна  КО 503-В</t>
  </si>
  <si>
    <t xml:space="preserve">автомобиль ГАЗ 3307 грузовой фургон </t>
  </si>
  <si>
    <t xml:space="preserve">автомобиль ГАЗ 2705 фургон </t>
  </si>
  <si>
    <t>автомобиль ЗИЛ 431412 КО 713-01 специальная цистерна    гр.6т</t>
  </si>
  <si>
    <t>автомобиль (Дежурный) ЗИЛ МДК 433362 комбинированный    гр.6т</t>
  </si>
  <si>
    <t>автомобиль ЗИЛ ММЗ 450850 самосвал.  гр.6т</t>
  </si>
  <si>
    <t>автомобиль КАМАЗ 5410  тягач   гр.14,5т</t>
  </si>
  <si>
    <t>автомобиль КАМАЗ 5320 цистерна  гр.10т</t>
  </si>
  <si>
    <t>Норма расхода топлива (электроэнергии) на 1 час  (1 погр. - разгр.) работы спецоборудования, л (квт - час)</t>
  </si>
  <si>
    <t>Цена 1 л топлива (1 квт - час электроэнергии), руб.</t>
  </si>
  <si>
    <t xml:space="preserve">Масло моторное ZIC 5000 10w40 (ZIC SUPERVIS VEGA 68) </t>
  </si>
  <si>
    <t xml:space="preserve">Масло моторноеZIC 5000 10w40 (ZIC SUPERVIS VEGA 68) </t>
  </si>
  <si>
    <t>Директор МУП "Водоканал" г. Иркутска</t>
  </si>
  <si>
    <t>Машина илососная КО-524 на базе автомобиля МАЗ 5340В2</t>
  </si>
  <si>
    <t>Н 968 АО</t>
  </si>
  <si>
    <t>315/80 К 22,5</t>
  </si>
  <si>
    <t>122</t>
  </si>
  <si>
    <t xml:space="preserve">автомобиль ГАЗ-3309 КО 503В-2 машина вакуумная </t>
  </si>
  <si>
    <t xml:space="preserve">Автомобиль КАМАЗ автоцистерна </t>
  </si>
  <si>
    <t>123</t>
  </si>
  <si>
    <t>УТВЕРЖДАЮ</t>
  </si>
  <si>
    <t>Е 785 АХ</t>
  </si>
  <si>
    <t>Автомобиль ГАЗ С41R13 автомастерская</t>
  </si>
  <si>
    <t>С 904 АХ</t>
  </si>
  <si>
    <t>8,25R20</t>
  </si>
  <si>
    <t>С 908 АХ</t>
  </si>
  <si>
    <t xml:space="preserve">Автомобиль Камаз, машина вакуумная КО 505 Б </t>
  </si>
  <si>
    <t>Р 027 АХ</t>
  </si>
  <si>
    <t>Анисимов А.Б.</t>
  </si>
  <si>
    <t>Директор</t>
  </si>
  <si>
    <t>МУП "Водоканал" г. Иркутска</t>
  </si>
  <si>
    <t>_____________С.В. Пыхтин</t>
  </si>
  <si>
    <t>___________________С.В. Пыхтин</t>
  </si>
  <si>
    <t xml:space="preserve">  от "___"_______2017 г.   № ____</t>
  </si>
  <si>
    <t>к приказу от"___"_________2017  №________</t>
  </si>
  <si>
    <t xml:space="preserve"> к приказу от " ___"________  2017   №_____</t>
  </si>
  <si>
    <t>Вводятся в действие с 01.03.2017</t>
  </si>
  <si>
    <t xml:space="preserve">Вводятся в действие с 01.03.2017 </t>
  </si>
  <si>
    <t>цеховые расходы (12,34 %), руб.</t>
  </si>
  <si>
    <t>общеэксплуатационные  расходы (173,43 % с понижающим коэффициентом 0,05), руб.</t>
  </si>
  <si>
    <t>сумма затрат на текущий ремонт и техобслуживание ( общая годовая сумма затрат на текущий ремонт и техобслуживание - 9 085 тыс. руб., годовая норма рабочего времени - 1973 час., количество единиц техники - 123) 9 085 000/1973/123= 37,44 руб.</t>
  </si>
  <si>
    <t>сумма затрат на капитальный ремонт ( общая годовая сумма затрат на капитальный ремонт - 8 450,69 тыс. руб., годовая норма рабочего времени - 1973 час., количество единиц техники - 123) 8 450 690/1973/123= 34,82 руб.</t>
  </si>
  <si>
    <t>расходы на охрану труда (годовая сумма затрат на приобретение спецодежды и спецобуви - 1 576 591 руб., годовая норма рабочего времени - 1973 час., количество единиц техники - 123)  1 576 591/1973/123= 6,5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</si>
</sst>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\-#,##0.00\ "/>
    <numFmt numFmtId="165" formatCode="0.000"/>
    <numFmt numFmtId="166" formatCode="0.00_ ;[Red]\-0.00\ "/>
    <numFmt numFmtId="167" formatCode="0.0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 Cyr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justify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0" xfId="0" applyNumberFormat="1" applyFont="1" applyAlignment="1"/>
    <xf numFmtId="49" fontId="1" fillId="0" borderId="0" xfId="0" applyNumberFormat="1" applyFont="1" applyFill="1" applyBorder="1" applyAlignment="1"/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166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6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165" fontId="1" fillId="0" borderId="0" xfId="0" applyNumberFormat="1" applyFont="1"/>
    <xf numFmtId="49" fontId="1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3" fontId="1" fillId="3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justify"/>
    </xf>
    <xf numFmtId="0" fontId="1" fillId="0" borderId="0" xfId="0" applyFont="1" applyFill="1" applyAlignment="1">
      <alignment horizontal="left" vertical="justify"/>
    </xf>
    <xf numFmtId="0" fontId="1" fillId="0" borderId="0" xfId="0" applyFont="1" applyFill="1" applyAlignment="1">
      <alignment horizontal="left" vertical="top"/>
    </xf>
    <xf numFmtId="0" fontId="1" fillId="0" borderId="0" xfId="0" applyFont="1" applyAlignment="1">
      <alignment horizont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/>
    <xf numFmtId="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49" fontId="1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166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167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3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justify"/>
    </xf>
    <xf numFmtId="0" fontId="1" fillId="0" borderId="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justify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0" xfId="0" applyNumberFormat="1" applyFont="1" applyFill="1" applyAlignment="1">
      <alignment horizontal="left" vertical="justify" wrapText="1"/>
    </xf>
    <xf numFmtId="0" fontId="1" fillId="0" borderId="0" xfId="0" applyFont="1" applyFill="1" applyAlignment="1">
      <alignment horizontal="left" vertical="justify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5"/>
  <sheetViews>
    <sheetView zoomScale="74" zoomScaleNormal="74" workbookViewId="0">
      <pane xSplit="3" ySplit="14" topLeftCell="K145" activePane="bottomRight" state="frozen"/>
      <selection pane="topRight" activeCell="D1" sqref="D1"/>
      <selection pane="bottomLeft" activeCell="A14" sqref="A14"/>
      <selection pane="bottomRight" activeCell="BE157" sqref="BE157"/>
    </sheetView>
  </sheetViews>
  <sheetFormatPr defaultRowHeight="15.75" x14ac:dyDescent="0.25"/>
  <cols>
    <col min="1" max="1" width="8.140625" style="35" customWidth="1"/>
    <col min="2" max="2" width="19.42578125" style="4" customWidth="1"/>
    <col min="3" max="3" width="8.28515625" style="130" customWidth="1"/>
    <col min="4" max="4" width="21.42578125" style="130" customWidth="1"/>
    <col min="5" max="5" width="8.28515625" style="130" customWidth="1"/>
    <col min="6" max="6" width="9.42578125" style="4" customWidth="1"/>
    <col min="7" max="7" width="6.140625" style="4" customWidth="1"/>
    <col min="8" max="8" width="6.85546875" style="4" customWidth="1"/>
    <col min="9" max="9" width="5.5703125" style="4" customWidth="1"/>
    <col min="10" max="10" width="5.7109375" style="4" customWidth="1"/>
    <col min="11" max="11" width="5.5703125" style="4" customWidth="1"/>
    <col min="12" max="12" width="6.85546875" style="4" customWidth="1"/>
    <col min="13" max="13" width="5.7109375" style="4" customWidth="1"/>
    <col min="14" max="14" width="5.140625" style="4" customWidth="1"/>
    <col min="15" max="15" width="6.85546875" style="4" customWidth="1"/>
    <col min="16" max="16" width="4.42578125" style="4" customWidth="1"/>
    <col min="17" max="17" width="5.5703125" style="4" customWidth="1"/>
    <col min="18" max="18" width="5.140625" style="4" customWidth="1"/>
    <col min="19" max="19" width="6.85546875" style="4" customWidth="1"/>
    <col min="20" max="20" width="5.140625" style="4" customWidth="1"/>
    <col min="21" max="21" width="6.85546875" style="4" customWidth="1"/>
    <col min="22" max="22" width="4.5703125" style="4" customWidth="1"/>
    <col min="23" max="23" width="6.85546875" style="4" customWidth="1"/>
    <col min="24" max="24" width="8.7109375" style="4" customWidth="1"/>
    <col min="25" max="27" width="6.85546875" style="4" customWidth="1"/>
    <col min="28" max="28" width="8.42578125" style="4" customWidth="1"/>
    <col min="29" max="29" width="8.28515625" style="4" customWidth="1"/>
    <col min="30" max="30" width="6.7109375" style="4" customWidth="1"/>
    <col min="31" max="31" width="7.5703125" style="4" customWidth="1"/>
    <col min="32" max="33" width="6.85546875" style="4" customWidth="1"/>
    <col min="34" max="34" width="7.5703125" style="4" customWidth="1"/>
    <col min="35" max="35" width="7.140625" style="4" customWidth="1"/>
    <col min="36" max="36" width="6.28515625" style="4" customWidth="1"/>
    <col min="37" max="37" width="6.140625" style="4" customWidth="1"/>
    <col min="38" max="38" width="7.7109375" style="4" customWidth="1"/>
    <col min="39" max="39" width="7.5703125" style="4" customWidth="1"/>
    <col min="40" max="40" width="7.85546875" style="4" customWidth="1"/>
    <col min="41" max="41" width="11.28515625" style="4" customWidth="1"/>
    <col min="42" max="42" width="8.7109375" style="4" customWidth="1"/>
    <col min="43" max="43" width="6.28515625" style="4" customWidth="1"/>
    <col min="44" max="44" width="8.42578125" style="4" customWidth="1"/>
    <col min="45" max="45" width="10.7109375" style="4" customWidth="1"/>
    <col min="46" max="46" width="8.140625" style="4" customWidth="1"/>
    <col min="47" max="47" width="5.85546875" style="4" customWidth="1"/>
    <col min="48" max="48" width="7.5703125" style="4" customWidth="1"/>
    <col min="49" max="49" width="10.85546875" style="4" customWidth="1"/>
    <col min="50" max="50" width="6.42578125" style="4" customWidth="1"/>
    <col min="51" max="51" width="14.28515625" style="4" customWidth="1"/>
    <col min="52" max="52" width="10.140625" style="4" customWidth="1"/>
    <col min="53" max="53" width="7.140625" style="4" customWidth="1"/>
    <col min="54" max="54" width="6.5703125" style="4" customWidth="1"/>
    <col min="55" max="55" width="16.42578125" style="4" customWidth="1"/>
    <col min="56" max="56" width="14.42578125" style="4" customWidth="1"/>
    <col min="57" max="57" width="10" style="4" customWidth="1"/>
    <col min="58" max="58" width="14.42578125" style="4" customWidth="1"/>
    <col min="59" max="59" width="10.7109375" style="4" customWidth="1"/>
    <col min="60" max="60" width="11.5703125" style="4" customWidth="1"/>
    <col min="61" max="61" width="7.85546875" style="4" customWidth="1"/>
    <col min="62" max="62" width="9.7109375" style="4" customWidth="1"/>
    <col min="63" max="63" width="12.7109375" style="4" customWidth="1"/>
    <col min="64" max="64" width="13.28515625" style="6" customWidth="1"/>
    <col min="65" max="65" width="18.140625" style="4" customWidth="1"/>
    <col min="66" max="16384" width="9.140625" style="4"/>
  </cols>
  <sheetData>
    <row r="1" spans="1:70" x14ac:dyDescent="0.25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64" t="s">
        <v>261</v>
      </c>
      <c r="BG1" s="164"/>
      <c r="BH1" s="164"/>
      <c r="BI1" s="164"/>
      <c r="BJ1" s="164"/>
      <c r="BK1" s="164"/>
      <c r="BL1" s="79"/>
      <c r="BM1" s="149"/>
    </row>
    <row r="2" spans="1:70" x14ac:dyDescent="0.25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64" t="s">
        <v>483</v>
      </c>
      <c r="BG2" s="164"/>
      <c r="BH2" s="164"/>
      <c r="BI2" s="164"/>
      <c r="BJ2" s="164"/>
      <c r="BK2" s="164"/>
      <c r="BL2" s="79"/>
      <c r="BM2" s="149"/>
    </row>
    <row r="3" spans="1:70" x14ac:dyDescent="0.25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79"/>
      <c r="BM3" s="149"/>
    </row>
    <row r="4" spans="1:70" x14ac:dyDescent="0.2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4" t="s">
        <v>468</v>
      </c>
      <c r="BG4" s="149"/>
      <c r="BH4" s="149"/>
      <c r="BI4" s="149"/>
      <c r="BJ4" s="149"/>
      <c r="BK4" s="149"/>
      <c r="BL4" s="79"/>
      <c r="BM4" s="149"/>
    </row>
    <row r="5" spans="1:70" ht="15.75" customHeight="1" x14ac:dyDescent="0.2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4" t="s">
        <v>477</v>
      </c>
      <c r="BL5" s="79"/>
      <c r="BM5" s="149"/>
    </row>
    <row r="6" spans="1:70" ht="15.75" customHeight="1" x14ac:dyDescent="0.25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AY6" s="149"/>
      <c r="AZ6" s="149"/>
      <c r="BA6" s="149"/>
      <c r="BB6" s="149"/>
      <c r="BC6" s="149"/>
      <c r="BD6" s="149"/>
      <c r="BE6" s="149"/>
      <c r="BF6" s="4" t="s">
        <v>478</v>
      </c>
      <c r="BL6" s="79"/>
      <c r="BM6" s="149"/>
    </row>
    <row r="7" spans="1:70" ht="15.75" customHeight="1" x14ac:dyDescent="0.25"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AY7" s="149"/>
      <c r="AZ7" s="149"/>
      <c r="BA7" s="149"/>
      <c r="BB7" s="149"/>
      <c r="BC7" s="149"/>
      <c r="BD7" s="149"/>
      <c r="BE7" s="149"/>
      <c r="BL7" s="79"/>
      <c r="BM7" s="149"/>
    </row>
    <row r="8" spans="1:70" x14ac:dyDescent="0.25">
      <c r="A8" s="36"/>
      <c r="B8" s="149"/>
      <c r="C8" s="149"/>
      <c r="D8" s="149"/>
      <c r="E8" s="149"/>
      <c r="F8" s="149"/>
      <c r="G8" s="149"/>
      <c r="BC8" s="149"/>
      <c r="BD8" s="149"/>
      <c r="BE8" s="149"/>
      <c r="BF8" s="4" t="s">
        <v>479</v>
      </c>
      <c r="BL8" s="79"/>
      <c r="BM8" s="149"/>
    </row>
    <row r="9" spans="1:70" x14ac:dyDescent="0.25">
      <c r="A9" s="36"/>
      <c r="B9" s="149"/>
      <c r="C9" s="149"/>
      <c r="D9" s="149"/>
      <c r="E9" s="149"/>
      <c r="F9" s="149"/>
      <c r="G9" s="149"/>
      <c r="Q9" s="171" t="s">
        <v>199</v>
      </c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49"/>
      <c r="BD9" s="149"/>
      <c r="BE9" s="149"/>
      <c r="BL9" s="79"/>
      <c r="BM9" s="149"/>
    </row>
    <row r="10" spans="1:70" ht="17.25" customHeight="1" thickBot="1" x14ac:dyDescent="0.3">
      <c r="B10" s="149"/>
      <c r="C10" s="149"/>
      <c r="D10" s="149"/>
      <c r="E10" s="149"/>
      <c r="F10" s="149"/>
      <c r="G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64" t="s">
        <v>484</v>
      </c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L10" s="79"/>
      <c r="BM10" s="149"/>
    </row>
    <row r="11" spans="1:70" ht="15.75" customHeight="1" x14ac:dyDescent="0.25">
      <c r="A11" s="173" t="s">
        <v>82</v>
      </c>
      <c r="B11" s="168" t="s">
        <v>81</v>
      </c>
      <c r="C11" s="168" t="s">
        <v>8</v>
      </c>
      <c r="D11" s="168" t="s">
        <v>307</v>
      </c>
      <c r="E11" s="168" t="s">
        <v>308</v>
      </c>
      <c r="F11" s="168" t="s">
        <v>54</v>
      </c>
      <c r="G11" s="168" t="s">
        <v>55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81" t="s">
        <v>59</v>
      </c>
      <c r="S11" s="181"/>
      <c r="T11" s="181" t="s">
        <v>60</v>
      </c>
      <c r="U11" s="181"/>
      <c r="V11" s="181" t="s">
        <v>61</v>
      </c>
      <c r="W11" s="181"/>
      <c r="X11" s="168" t="s">
        <v>64</v>
      </c>
      <c r="Y11" s="165" t="s">
        <v>269</v>
      </c>
      <c r="Z11" s="165" t="s">
        <v>270</v>
      </c>
      <c r="AA11" s="165" t="s">
        <v>271</v>
      </c>
      <c r="AB11" s="165" t="s">
        <v>272</v>
      </c>
      <c r="AC11" s="168" t="s">
        <v>306</v>
      </c>
      <c r="AD11" s="168" t="s">
        <v>486</v>
      </c>
      <c r="AE11" s="168" t="s">
        <v>487</v>
      </c>
      <c r="AF11" s="168" t="s">
        <v>66</v>
      </c>
      <c r="AG11" s="168" t="s">
        <v>457</v>
      </c>
      <c r="AH11" s="168" t="s">
        <v>80</v>
      </c>
      <c r="AI11" s="168"/>
      <c r="AJ11" s="168"/>
      <c r="AK11" s="168"/>
      <c r="AL11" s="168"/>
      <c r="AM11" s="168" t="s">
        <v>171</v>
      </c>
      <c r="AN11" s="168" t="s">
        <v>166</v>
      </c>
      <c r="AO11" s="168" t="s">
        <v>456</v>
      </c>
      <c r="AP11" s="168" t="s">
        <v>167</v>
      </c>
      <c r="AQ11" s="168" t="s">
        <v>168</v>
      </c>
      <c r="AR11" s="168" t="s">
        <v>169</v>
      </c>
      <c r="AS11" s="168" t="s">
        <v>72</v>
      </c>
      <c r="AT11" s="168" t="s">
        <v>73</v>
      </c>
      <c r="AU11" s="168" t="s">
        <v>176</v>
      </c>
      <c r="AV11" s="168" t="s">
        <v>74</v>
      </c>
      <c r="AW11" s="168" t="s">
        <v>177</v>
      </c>
      <c r="AX11" s="168" t="s">
        <v>75</v>
      </c>
      <c r="AY11" s="178" t="s">
        <v>178</v>
      </c>
      <c r="AZ11" s="168" t="s">
        <v>76</v>
      </c>
      <c r="BA11" s="168" t="s">
        <v>77</v>
      </c>
      <c r="BB11" s="168" t="s">
        <v>78</v>
      </c>
      <c r="BC11" s="168" t="s">
        <v>488</v>
      </c>
      <c r="BD11" s="165" t="s">
        <v>489</v>
      </c>
      <c r="BE11" s="168" t="s">
        <v>215</v>
      </c>
      <c r="BF11" s="165" t="s">
        <v>490</v>
      </c>
      <c r="BG11" s="165" t="s">
        <v>309</v>
      </c>
      <c r="BH11" s="168" t="s">
        <v>198</v>
      </c>
      <c r="BI11" s="168" t="s">
        <v>277</v>
      </c>
      <c r="BJ11" s="168" t="s">
        <v>79</v>
      </c>
      <c r="BK11" s="182" t="s">
        <v>196</v>
      </c>
      <c r="BL11" s="28"/>
      <c r="BM11" s="28"/>
      <c r="BN11" s="33"/>
    </row>
    <row r="12" spans="1:70" ht="90" customHeight="1" x14ac:dyDescent="0.25">
      <c r="A12" s="174"/>
      <c r="B12" s="176"/>
      <c r="C12" s="176"/>
      <c r="D12" s="176"/>
      <c r="E12" s="176"/>
      <c r="F12" s="169"/>
      <c r="G12" s="152" t="s">
        <v>56</v>
      </c>
      <c r="H12" s="152"/>
      <c r="I12" s="169" t="s">
        <v>202</v>
      </c>
      <c r="J12" s="169"/>
      <c r="K12" s="176" t="s">
        <v>57</v>
      </c>
      <c r="L12" s="176"/>
      <c r="M12" s="169" t="s">
        <v>58</v>
      </c>
      <c r="N12" s="169" t="s">
        <v>9</v>
      </c>
      <c r="O12" s="169"/>
      <c r="P12" s="169" t="s">
        <v>65</v>
      </c>
      <c r="Q12" s="169"/>
      <c r="R12" s="176"/>
      <c r="S12" s="176"/>
      <c r="T12" s="176"/>
      <c r="U12" s="176"/>
      <c r="V12" s="176"/>
      <c r="W12" s="176"/>
      <c r="X12" s="169"/>
      <c r="Y12" s="166"/>
      <c r="Z12" s="166"/>
      <c r="AA12" s="166"/>
      <c r="AB12" s="166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79"/>
      <c r="AZ12" s="169"/>
      <c r="BA12" s="169"/>
      <c r="BB12" s="169"/>
      <c r="BC12" s="169"/>
      <c r="BD12" s="166"/>
      <c r="BE12" s="169"/>
      <c r="BF12" s="166"/>
      <c r="BG12" s="166"/>
      <c r="BH12" s="169"/>
      <c r="BI12" s="169"/>
      <c r="BJ12" s="169"/>
      <c r="BK12" s="183"/>
      <c r="BL12" s="28"/>
      <c r="BM12" s="28"/>
      <c r="BN12" s="33"/>
    </row>
    <row r="13" spans="1:70" ht="264.75" customHeight="1" thickBot="1" x14ac:dyDescent="0.3">
      <c r="A13" s="175"/>
      <c r="B13" s="177"/>
      <c r="C13" s="177"/>
      <c r="D13" s="177"/>
      <c r="E13" s="177"/>
      <c r="F13" s="170"/>
      <c r="G13" s="122" t="s">
        <v>62</v>
      </c>
      <c r="H13" s="123" t="s">
        <v>63</v>
      </c>
      <c r="I13" s="122" t="s">
        <v>62</v>
      </c>
      <c r="J13" s="123" t="s">
        <v>63</v>
      </c>
      <c r="K13" s="122" t="s">
        <v>62</v>
      </c>
      <c r="L13" s="123" t="s">
        <v>63</v>
      </c>
      <c r="M13" s="170"/>
      <c r="N13" s="122" t="s">
        <v>62</v>
      </c>
      <c r="O13" s="123" t="s">
        <v>63</v>
      </c>
      <c r="P13" s="122" t="s">
        <v>62</v>
      </c>
      <c r="Q13" s="123" t="s">
        <v>63</v>
      </c>
      <c r="R13" s="122" t="s">
        <v>62</v>
      </c>
      <c r="S13" s="123" t="s">
        <v>63</v>
      </c>
      <c r="T13" s="122" t="s">
        <v>62</v>
      </c>
      <c r="U13" s="123" t="s">
        <v>63</v>
      </c>
      <c r="V13" s="122" t="s">
        <v>62</v>
      </c>
      <c r="W13" s="123" t="s">
        <v>63</v>
      </c>
      <c r="X13" s="170"/>
      <c r="Y13" s="167"/>
      <c r="Z13" s="167"/>
      <c r="AA13" s="167"/>
      <c r="AB13" s="167"/>
      <c r="AC13" s="170"/>
      <c r="AD13" s="170"/>
      <c r="AE13" s="170"/>
      <c r="AF13" s="170"/>
      <c r="AG13" s="170"/>
      <c r="AH13" s="150" t="s">
        <v>203</v>
      </c>
      <c r="AI13" s="150" t="s">
        <v>10</v>
      </c>
      <c r="AJ13" s="150" t="s">
        <v>430</v>
      </c>
      <c r="AK13" s="150" t="s">
        <v>429</v>
      </c>
      <c r="AL13" s="150" t="s">
        <v>12</v>
      </c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80"/>
      <c r="AZ13" s="170"/>
      <c r="BA13" s="170"/>
      <c r="BB13" s="170"/>
      <c r="BC13" s="170"/>
      <c r="BD13" s="167"/>
      <c r="BE13" s="170"/>
      <c r="BF13" s="167"/>
      <c r="BG13" s="167"/>
      <c r="BH13" s="170"/>
      <c r="BI13" s="170"/>
      <c r="BJ13" s="170"/>
      <c r="BK13" s="184"/>
      <c r="BL13" s="28"/>
      <c r="BM13" s="28"/>
      <c r="BN13" s="33"/>
    </row>
    <row r="14" spans="1:70" s="36" customFormat="1" ht="16.5" thickBot="1" x14ac:dyDescent="0.25">
      <c r="A14" s="82" t="s">
        <v>67</v>
      </c>
      <c r="B14" s="83">
        <v>2</v>
      </c>
      <c r="C14" s="83">
        <v>3</v>
      </c>
      <c r="D14" s="83">
        <v>4</v>
      </c>
      <c r="E14" s="83">
        <v>5</v>
      </c>
      <c r="F14" s="83">
        <v>6</v>
      </c>
      <c r="G14" s="83">
        <v>7</v>
      </c>
      <c r="H14" s="83">
        <v>8</v>
      </c>
      <c r="I14" s="83">
        <v>9</v>
      </c>
      <c r="J14" s="83">
        <v>10</v>
      </c>
      <c r="K14" s="83">
        <v>11</v>
      </c>
      <c r="L14" s="83">
        <v>12</v>
      </c>
      <c r="M14" s="83">
        <v>13</v>
      </c>
      <c r="N14" s="83">
        <v>14</v>
      </c>
      <c r="O14" s="83">
        <v>15</v>
      </c>
      <c r="P14" s="83">
        <v>16</v>
      </c>
      <c r="Q14" s="83">
        <v>17</v>
      </c>
      <c r="R14" s="83">
        <v>18</v>
      </c>
      <c r="S14" s="83">
        <v>19</v>
      </c>
      <c r="T14" s="83">
        <v>20</v>
      </c>
      <c r="U14" s="83">
        <v>21</v>
      </c>
      <c r="V14" s="83">
        <v>22</v>
      </c>
      <c r="W14" s="83">
        <v>23</v>
      </c>
      <c r="X14" s="83">
        <v>24</v>
      </c>
      <c r="Y14" s="83">
        <v>25</v>
      </c>
      <c r="Z14" s="83">
        <v>26</v>
      </c>
      <c r="AA14" s="83">
        <v>27</v>
      </c>
      <c r="AB14" s="83">
        <v>28</v>
      </c>
      <c r="AC14" s="85">
        <v>29</v>
      </c>
      <c r="AD14" s="85">
        <v>30</v>
      </c>
      <c r="AE14" s="85">
        <v>31</v>
      </c>
      <c r="AF14" s="85">
        <v>32</v>
      </c>
      <c r="AG14" s="84">
        <v>33</v>
      </c>
      <c r="AH14" s="84">
        <v>34</v>
      </c>
      <c r="AI14" s="84">
        <v>35</v>
      </c>
      <c r="AJ14" s="84">
        <v>36</v>
      </c>
      <c r="AK14" s="84">
        <v>37</v>
      </c>
      <c r="AL14" s="84">
        <v>38</v>
      </c>
      <c r="AM14" s="84">
        <v>39</v>
      </c>
      <c r="AN14" s="84">
        <v>40</v>
      </c>
      <c r="AO14" s="84">
        <v>41</v>
      </c>
      <c r="AP14" s="84">
        <v>42</v>
      </c>
      <c r="AQ14" s="84">
        <v>43</v>
      </c>
      <c r="AR14" s="85">
        <v>44</v>
      </c>
      <c r="AS14" s="85">
        <v>45</v>
      </c>
      <c r="AT14" s="85">
        <v>46</v>
      </c>
      <c r="AU14" s="85">
        <v>47</v>
      </c>
      <c r="AV14" s="85">
        <v>48</v>
      </c>
      <c r="AW14" s="85">
        <v>49</v>
      </c>
      <c r="AX14" s="85">
        <v>50</v>
      </c>
      <c r="AY14" s="85">
        <v>51</v>
      </c>
      <c r="AZ14" s="85">
        <v>52</v>
      </c>
      <c r="BA14" s="85">
        <v>53</v>
      </c>
      <c r="BB14" s="85">
        <v>54</v>
      </c>
      <c r="BC14" s="85">
        <v>55</v>
      </c>
      <c r="BD14" s="85">
        <v>56</v>
      </c>
      <c r="BE14" s="85">
        <v>57</v>
      </c>
      <c r="BF14" s="85">
        <v>58</v>
      </c>
      <c r="BG14" s="124">
        <v>59</v>
      </c>
      <c r="BH14" s="124">
        <v>60</v>
      </c>
      <c r="BI14" s="124">
        <v>61</v>
      </c>
      <c r="BJ14" s="124">
        <v>62</v>
      </c>
      <c r="BK14" s="125">
        <v>63</v>
      </c>
      <c r="BL14" s="126"/>
      <c r="BM14" s="126"/>
    </row>
    <row r="15" spans="1:70" ht="66.75" customHeight="1" x14ac:dyDescent="0.25">
      <c r="A15" s="57" t="s">
        <v>67</v>
      </c>
      <c r="B15" s="155" t="s">
        <v>13</v>
      </c>
      <c r="C15" s="155" t="s">
        <v>14</v>
      </c>
      <c r="D15" s="155" t="s">
        <v>310</v>
      </c>
      <c r="E15" s="155">
        <v>6</v>
      </c>
      <c r="F15" s="98">
        <v>86.44</v>
      </c>
      <c r="G15" s="155">
        <v>0</v>
      </c>
      <c r="H15" s="99">
        <f>F15*G15/100</f>
        <v>0</v>
      </c>
      <c r="I15" s="155"/>
      <c r="J15" s="155">
        <f>F15*I15/100</f>
        <v>0</v>
      </c>
      <c r="K15" s="155"/>
      <c r="L15" s="155">
        <f>F15*K15/100</f>
        <v>0</v>
      </c>
      <c r="M15" s="155"/>
      <c r="N15" s="155"/>
      <c r="O15" s="155">
        <f>F15*N15/100</f>
        <v>0</v>
      </c>
      <c r="P15" s="155"/>
      <c r="Q15" s="155"/>
      <c r="R15" s="155">
        <v>40</v>
      </c>
      <c r="S15" s="155">
        <f>(F15+H15+J15+L15+M15+O15+Q15)*R15/100</f>
        <v>34.576000000000001</v>
      </c>
      <c r="T15" s="155">
        <v>30</v>
      </c>
      <c r="U15" s="155">
        <f>(F15+H15+J15+L15+M15+O15+Q15+S15)*30/100</f>
        <v>36.304799999999993</v>
      </c>
      <c r="V15" s="155">
        <v>30</v>
      </c>
      <c r="W15" s="155">
        <f>U15</f>
        <v>36.304799999999993</v>
      </c>
      <c r="X15" s="59">
        <f>F15+H15+J15+L15+M15+O15+Q15+S15+U15+W15</f>
        <v>193.62559999999999</v>
      </c>
      <c r="Y15" s="59">
        <f>3000/1970</f>
        <v>1.5228426395939085</v>
      </c>
      <c r="Z15" s="59">
        <f>X15*0.06</f>
        <v>11.617535999999999</v>
      </c>
      <c r="AA15" s="59">
        <f>X15*0.07</f>
        <v>13.553792000000001</v>
      </c>
      <c r="AB15" s="59">
        <f>X15+Y15+Z15+AA15</f>
        <v>220.31977063959391</v>
      </c>
      <c r="AC15" s="59">
        <f>AB15*0.302</f>
        <v>66.536570733157362</v>
      </c>
      <c r="AD15" s="59">
        <f>AB15*0.123</f>
        <v>27.09933178867005</v>
      </c>
      <c r="AE15" s="59">
        <f>AB15*1.734*0.05</f>
        <v>19.101724114452793</v>
      </c>
      <c r="AF15" s="59" t="s">
        <v>83</v>
      </c>
      <c r="AG15" s="158">
        <v>30.677966000000001</v>
      </c>
      <c r="AH15" s="59">
        <v>15</v>
      </c>
      <c r="AI15" s="59">
        <v>15</v>
      </c>
      <c r="AJ15" s="59">
        <v>16.350000000000001</v>
      </c>
      <c r="AK15" s="59">
        <v>17.7</v>
      </c>
      <c r="AL15" s="59">
        <f>(AI15*6+AJ15*3+AK15*3)/12</f>
        <v>16.012499999999999</v>
      </c>
      <c r="AM15" s="59">
        <f>AG15*AL15</f>
        <v>491.230930575</v>
      </c>
      <c r="AN15" s="59"/>
      <c r="AO15" s="59"/>
      <c r="AP15" s="59"/>
      <c r="AQ15" s="59">
        <f>AG15*AO15*AP15</f>
        <v>0</v>
      </c>
      <c r="AR15" s="59">
        <f>AM15+AQ15</f>
        <v>491.230930575</v>
      </c>
      <c r="AS15" s="59"/>
      <c r="AT15" s="59"/>
      <c r="AU15" s="59"/>
      <c r="AV15" s="59"/>
      <c r="AW15" s="59"/>
      <c r="AX15" s="59"/>
      <c r="AY15" s="59" t="s">
        <v>179</v>
      </c>
      <c r="AZ15" s="59">
        <v>7523.73</v>
      </c>
      <c r="BA15" s="81">
        <v>6</v>
      </c>
      <c r="BB15" s="59">
        <f>AZ15*BA15/2000</f>
        <v>22.571189999999998</v>
      </c>
      <c r="BC15" s="59">
        <v>37.44</v>
      </c>
      <c r="BD15" s="59">
        <v>34.82</v>
      </c>
      <c r="BE15" s="59">
        <v>180.4</v>
      </c>
      <c r="BF15" s="59">
        <v>6.5</v>
      </c>
      <c r="BG15" s="59"/>
      <c r="BH15" s="81">
        <f>AB15+AC15+AD15+AR15+AV15+BB15+BC15+BD15+BE15+BF15+BG15</f>
        <v>1086.9177937364213</v>
      </c>
      <c r="BI15" s="59">
        <f>AB15*0.2</f>
        <v>44.063954127918784</v>
      </c>
      <c r="BJ15" s="81">
        <f>BH15+AE15+BI15</f>
        <v>1150.0834719787929</v>
      </c>
      <c r="BK15" s="100">
        <f>BH15-AD15</f>
        <v>1059.8184619477513</v>
      </c>
      <c r="BL15" s="43"/>
      <c r="BM15" s="43"/>
      <c r="BN15" s="33"/>
      <c r="BR15" s="127"/>
    </row>
    <row r="16" spans="1:70" ht="78.75" x14ac:dyDescent="0.25">
      <c r="A16" s="58" t="s">
        <v>89</v>
      </c>
      <c r="B16" s="78" t="s">
        <v>229</v>
      </c>
      <c r="C16" s="156" t="s">
        <v>231</v>
      </c>
      <c r="D16" s="156" t="s">
        <v>310</v>
      </c>
      <c r="E16" s="156">
        <v>6</v>
      </c>
      <c r="F16" s="46">
        <v>89.61</v>
      </c>
      <c r="G16" s="156">
        <v>0</v>
      </c>
      <c r="H16" s="101">
        <f t="shared" ref="H16:H36" si="0">F16*G16/100</f>
        <v>0</v>
      </c>
      <c r="I16" s="156"/>
      <c r="J16" s="156">
        <f t="shared" ref="J16:J36" si="1">F16*I16/100</f>
        <v>0</v>
      </c>
      <c r="K16" s="156"/>
      <c r="L16" s="156">
        <f t="shared" ref="L16:L36" si="2">F16*K16/100</f>
        <v>0</v>
      </c>
      <c r="M16" s="156"/>
      <c r="N16" s="156"/>
      <c r="O16" s="156">
        <f t="shared" ref="O16:O36" si="3">F16*N16/100</f>
        <v>0</v>
      </c>
      <c r="P16" s="156"/>
      <c r="Q16" s="156"/>
      <c r="R16" s="156">
        <v>40</v>
      </c>
      <c r="S16" s="156">
        <f t="shared" ref="S16:S36" si="4">(F16+H16+J16+L16+M16+O16+Q16)*R16/100</f>
        <v>35.844000000000001</v>
      </c>
      <c r="T16" s="156">
        <v>30</v>
      </c>
      <c r="U16" s="156">
        <f t="shared" ref="U16:U36" si="5">(F16+H16+J16+L16+M16+O16+Q16+S16)*30/100</f>
        <v>37.636200000000002</v>
      </c>
      <c r="V16" s="156">
        <v>30</v>
      </c>
      <c r="W16" s="156">
        <f t="shared" ref="W16:W36" si="6">U16</f>
        <v>37.636200000000002</v>
      </c>
      <c r="X16" s="60">
        <f t="shared" ref="X16:X36" si="7">F16+H16+J16+L16+M16+O16+Q16+S16+U16+W16</f>
        <v>200.72640000000001</v>
      </c>
      <c r="Y16" s="60">
        <f t="shared" ref="Y16:Y44" si="8">3000/1970</f>
        <v>1.5228426395939085</v>
      </c>
      <c r="Z16" s="60">
        <f t="shared" ref="Z16:Z44" si="9">X16*0.06</f>
        <v>12.043584000000001</v>
      </c>
      <c r="AA16" s="60">
        <f t="shared" ref="AA16:AA44" si="10">X16*0.07</f>
        <v>14.050848000000002</v>
      </c>
      <c r="AB16" s="60">
        <f t="shared" ref="AB16:AB44" si="11">X16+Y16+Z16+AA16</f>
        <v>228.34367463959393</v>
      </c>
      <c r="AC16" s="60">
        <f>AB16*0.302</f>
        <v>68.959789741157365</v>
      </c>
      <c r="AD16" s="60">
        <f t="shared" ref="AD16:AD79" si="12">AB16*0.123</f>
        <v>28.086271980670052</v>
      </c>
      <c r="AE16" s="60">
        <f t="shared" ref="AE16:AE79" si="13">AB16*1.734*0.05</f>
        <v>19.797396591252795</v>
      </c>
      <c r="AF16" s="60" t="s">
        <v>83</v>
      </c>
      <c r="AG16" s="159">
        <v>30.677966000000001</v>
      </c>
      <c r="AH16" s="60">
        <v>15</v>
      </c>
      <c r="AI16" s="60">
        <v>15</v>
      </c>
      <c r="AJ16" s="60">
        <v>16.350000000000001</v>
      </c>
      <c r="AK16" s="60">
        <v>17.7</v>
      </c>
      <c r="AL16" s="60">
        <f t="shared" ref="AL16:AL77" si="14">(AI16*6+AJ16*3+AK16*3)/12</f>
        <v>16.012499999999999</v>
      </c>
      <c r="AM16" s="60">
        <f t="shared" ref="AM16:AM22" si="15">AG16*AL16</f>
        <v>491.230930575</v>
      </c>
      <c r="AN16" s="60"/>
      <c r="AO16" s="60"/>
      <c r="AP16" s="60"/>
      <c r="AQ16" s="60">
        <f t="shared" ref="AQ16:AQ36" si="16">AG16*AO16*AP16</f>
        <v>0</v>
      </c>
      <c r="AR16" s="60">
        <f t="shared" ref="AR16:AR36" si="17">AM16+AQ16</f>
        <v>491.230930575</v>
      </c>
      <c r="AS16" s="60" t="s">
        <v>267</v>
      </c>
      <c r="AT16" s="60">
        <v>157.66999999999999</v>
      </c>
      <c r="AU16" s="60">
        <v>4.5</v>
      </c>
      <c r="AV16" s="60">
        <f t="shared" ref="AV16:AV22" si="18">AL16*AU16/100*AT16</f>
        <v>113.61108937499998</v>
      </c>
      <c r="AW16" s="60">
        <v>2000</v>
      </c>
      <c r="AX16" s="60"/>
      <c r="AY16" s="60" t="s">
        <v>286</v>
      </c>
      <c r="AZ16" s="60">
        <v>9830.51</v>
      </c>
      <c r="BA16" s="80">
        <v>4</v>
      </c>
      <c r="BB16" s="60">
        <f>AZ16*BA16/2000</f>
        <v>19.661020000000001</v>
      </c>
      <c r="BC16" s="60">
        <v>37.44</v>
      </c>
      <c r="BD16" s="60">
        <v>34.82</v>
      </c>
      <c r="BE16" s="60">
        <v>0</v>
      </c>
      <c r="BF16" s="60">
        <v>6.5</v>
      </c>
      <c r="BG16" s="60"/>
      <c r="BH16" s="80">
        <f t="shared" ref="BH16:BH44" si="19">AB16+AC16+AD16+AR16+AV16+BB16+BC16+BD16+BE16+BF16</f>
        <v>1028.6527763114213</v>
      </c>
      <c r="BI16" s="60">
        <f t="shared" ref="BI16:BI72" si="20">AB16*0.2</f>
        <v>45.668734927918791</v>
      </c>
      <c r="BJ16" s="80">
        <f t="shared" ref="BJ16:BJ40" si="21">BH16+AE16+BI16</f>
        <v>1094.1189078305931</v>
      </c>
      <c r="BK16" s="102">
        <f t="shared" ref="BK16:BK40" si="22">BH16-AD16</f>
        <v>1000.5665043307513</v>
      </c>
      <c r="BL16" s="43"/>
      <c r="BM16" s="43"/>
      <c r="BN16" s="33"/>
      <c r="BR16" s="127"/>
    </row>
    <row r="17" spans="1:70" ht="78.75" x14ac:dyDescent="0.25">
      <c r="A17" s="58" t="s">
        <v>90</v>
      </c>
      <c r="B17" s="78" t="s">
        <v>229</v>
      </c>
      <c r="C17" s="156" t="s">
        <v>232</v>
      </c>
      <c r="D17" s="156" t="s">
        <v>310</v>
      </c>
      <c r="E17" s="156">
        <v>6</v>
      </c>
      <c r="F17" s="46">
        <v>89.61</v>
      </c>
      <c r="G17" s="156">
        <v>0</v>
      </c>
      <c r="H17" s="101">
        <f t="shared" ref="H17:H22" si="23">F17*G17/100</f>
        <v>0</v>
      </c>
      <c r="I17" s="156"/>
      <c r="J17" s="156">
        <f t="shared" ref="J17:J22" si="24">F17*I17/100</f>
        <v>0</v>
      </c>
      <c r="K17" s="156"/>
      <c r="L17" s="156">
        <f t="shared" ref="L17:L22" si="25">F17*K17/100</f>
        <v>0</v>
      </c>
      <c r="M17" s="156"/>
      <c r="N17" s="156"/>
      <c r="O17" s="156">
        <f t="shared" ref="O17:O22" si="26">F17*N17/100</f>
        <v>0</v>
      </c>
      <c r="P17" s="156"/>
      <c r="Q17" s="156"/>
      <c r="R17" s="156">
        <v>40</v>
      </c>
      <c r="S17" s="156">
        <f t="shared" ref="S17:S22" si="27">(F17+H17+J17+L17+M17+O17+Q17)*R17/100</f>
        <v>35.844000000000001</v>
      </c>
      <c r="T17" s="156">
        <v>30</v>
      </c>
      <c r="U17" s="156">
        <f t="shared" ref="U17:U22" si="28">(F17+H17+J17+L17+M17+O17+Q17+S17)*30/100</f>
        <v>37.636200000000002</v>
      </c>
      <c r="V17" s="156">
        <v>30</v>
      </c>
      <c r="W17" s="156">
        <f t="shared" ref="W17:W22" si="29">U17</f>
        <v>37.636200000000002</v>
      </c>
      <c r="X17" s="60">
        <f t="shared" ref="X17:X22" si="30">F17+H17+J17+L17+M17+O17+Q17+S17+U17+W17</f>
        <v>200.72640000000001</v>
      </c>
      <c r="Y17" s="60">
        <f t="shared" si="8"/>
        <v>1.5228426395939085</v>
      </c>
      <c r="Z17" s="60">
        <f t="shared" ref="Z17:Z22" si="31">X17*0.06</f>
        <v>12.043584000000001</v>
      </c>
      <c r="AA17" s="60">
        <f t="shared" ref="AA17:AA22" si="32">X17*0.07</f>
        <v>14.050848000000002</v>
      </c>
      <c r="AB17" s="60">
        <f t="shared" ref="AB17:AB22" si="33">X17+Y17+Z17+AA17</f>
        <v>228.34367463959393</v>
      </c>
      <c r="AC17" s="60">
        <f t="shared" ref="AC17:AC78" si="34">AB17*0.302</f>
        <v>68.959789741157365</v>
      </c>
      <c r="AD17" s="60">
        <f t="shared" si="12"/>
        <v>28.086271980670052</v>
      </c>
      <c r="AE17" s="60">
        <f t="shared" si="13"/>
        <v>19.797396591252795</v>
      </c>
      <c r="AF17" s="60" t="s">
        <v>83</v>
      </c>
      <c r="AG17" s="159">
        <v>30.677966000000001</v>
      </c>
      <c r="AH17" s="60">
        <v>15</v>
      </c>
      <c r="AI17" s="60">
        <v>15</v>
      </c>
      <c r="AJ17" s="60">
        <v>16.350000000000001</v>
      </c>
      <c r="AK17" s="60">
        <v>17.7</v>
      </c>
      <c r="AL17" s="60">
        <f t="shared" si="14"/>
        <v>16.012499999999999</v>
      </c>
      <c r="AM17" s="60">
        <f t="shared" si="15"/>
        <v>491.230930575</v>
      </c>
      <c r="AN17" s="60"/>
      <c r="AO17" s="60"/>
      <c r="AP17" s="60"/>
      <c r="AQ17" s="60">
        <f t="shared" ref="AQ17:AQ22" si="35">AG17*AO17*AP17</f>
        <v>0</v>
      </c>
      <c r="AR17" s="60">
        <f t="shared" ref="AR17:AR22" si="36">AM17+AQ17</f>
        <v>491.230930575</v>
      </c>
      <c r="AS17" s="60" t="s">
        <v>267</v>
      </c>
      <c r="AT17" s="60">
        <v>157.66999999999999</v>
      </c>
      <c r="AU17" s="60">
        <v>4.5</v>
      </c>
      <c r="AV17" s="60">
        <f t="shared" si="18"/>
        <v>113.61108937499998</v>
      </c>
      <c r="AW17" s="60">
        <v>2000</v>
      </c>
      <c r="AX17" s="60"/>
      <c r="AY17" s="60" t="s">
        <v>286</v>
      </c>
      <c r="AZ17" s="60">
        <v>9830.51</v>
      </c>
      <c r="BA17" s="80">
        <v>4</v>
      </c>
      <c r="BB17" s="60">
        <f>AZ17*BA17/2000</f>
        <v>19.661020000000001</v>
      </c>
      <c r="BC17" s="60">
        <v>37.44</v>
      </c>
      <c r="BD17" s="60">
        <v>34.82</v>
      </c>
      <c r="BE17" s="60">
        <v>0</v>
      </c>
      <c r="BF17" s="60">
        <v>6.5</v>
      </c>
      <c r="BG17" s="60"/>
      <c r="BH17" s="80">
        <f t="shared" ref="BH17:BH22" si="37">AB17+AC17+AD17+AR17+AV17+BB17+BC17+BD17+BE17+BF17</f>
        <v>1028.6527763114213</v>
      </c>
      <c r="BI17" s="60">
        <f t="shared" si="20"/>
        <v>45.668734927918791</v>
      </c>
      <c r="BJ17" s="80">
        <f t="shared" ref="BJ17:BJ22" si="38">BH17+AE17+BI17</f>
        <v>1094.1189078305931</v>
      </c>
      <c r="BK17" s="102">
        <f t="shared" ref="BK17:BK22" si="39">BH17-AD17</f>
        <v>1000.5665043307513</v>
      </c>
      <c r="BL17" s="43"/>
      <c r="BM17" s="43"/>
      <c r="BN17" s="33"/>
      <c r="BR17" s="127"/>
    </row>
    <row r="18" spans="1:70" ht="78.75" x14ac:dyDescent="0.25">
      <c r="A18" s="58" t="s">
        <v>91</v>
      </c>
      <c r="B18" s="78" t="s">
        <v>230</v>
      </c>
      <c r="C18" s="156" t="s">
        <v>233</v>
      </c>
      <c r="D18" s="156" t="s">
        <v>310</v>
      </c>
      <c r="E18" s="156">
        <v>6</v>
      </c>
      <c r="F18" s="46">
        <v>89.61</v>
      </c>
      <c r="G18" s="156">
        <v>0</v>
      </c>
      <c r="H18" s="101">
        <f t="shared" si="23"/>
        <v>0</v>
      </c>
      <c r="I18" s="156"/>
      <c r="J18" s="156">
        <f t="shared" si="24"/>
        <v>0</v>
      </c>
      <c r="K18" s="156"/>
      <c r="L18" s="156">
        <f t="shared" si="25"/>
        <v>0</v>
      </c>
      <c r="M18" s="156"/>
      <c r="N18" s="156"/>
      <c r="O18" s="156">
        <f t="shared" si="26"/>
        <v>0</v>
      </c>
      <c r="P18" s="156"/>
      <c r="Q18" s="156"/>
      <c r="R18" s="156">
        <v>40</v>
      </c>
      <c r="S18" s="156">
        <f t="shared" si="27"/>
        <v>35.844000000000001</v>
      </c>
      <c r="T18" s="156">
        <v>30</v>
      </c>
      <c r="U18" s="156">
        <f t="shared" si="28"/>
        <v>37.636200000000002</v>
      </c>
      <c r="V18" s="156">
        <v>30</v>
      </c>
      <c r="W18" s="156">
        <f t="shared" si="29"/>
        <v>37.636200000000002</v>
      </c>
      <c r="X18" s="60">
        <f t="shared" si="30"/>
        <v>200.72640000000001</v>
      </c>
      <c r="Y18" s="60">
        <f t="shared" si="8"/>
        <v>1.5228426395939085</v>
      </c>
      <c r="Z18" s="60">
        <f t="shared" si="31"/>
        <v>12.043584000000001</v>
      </c>
      <c r="AA18" s="60">
        <f t="shared" si="32"/>
        <v>14.050848000000002</v>
      </c>
      <c r="AB18" s="60">
        <f t="shared" si="33"/>
        <v>228.34367463959393</v>
      </c>
      <c r="AC18" s="60">
        <f t="shared" si="34"/>
        <v>68.959789741157365</v>
      </c>
      <c r="AD18" s="60">
        <f t="shared" si="12"/>
        <v>28.086271980670052</v>
      </c>
      <c r="AE18" s="60">
        <f t="shared" si="13"/>
        <v>19.797396591252795</v>
      </c>
      <c r="AF18" s="60" t="s">
        <v>83</v>
      </c>
      <c r="AG18" s="159">
        <v>30.677966000000001</v>
      </c>
      <c r="AH18" s="60">
        <v>10</v>
      </c>
      <c r="AI18" s="60">
        <v>10</v>
      </c>
      <c r="AJ18" s="60">
        <v>10.9</v>
      </c>
      <c r="AK18" s="60">
        <v>11.799999999999999</v>
      </c>
      <c r="AL18" s="60">
        <f t="shared" si="14"/>
        <v>10.674999999999999</v>
      </c>
      <c r="AM18" s="60">
        <f t="shared" si="15"/>
        <v>327.48728704999996</v>
      </c>
      <c r="AN18" s="60"/>
      <c r="AO18" s="60"/>
      <c r="AP18" s="60"/>
      <c r="AQ18" s="60">
        <f t="shared" si="35"/>
        <v>0</v>
      </c>
      <c r="AR18" s="60">
        <f t="shared" si="36"/>
        <v>327.48728704999996</v>
      </c>
      <c r="AS18" s="60" t="s">
        <v>267</v>
      </c>
      <c r="AT18" s="60">
        <v>157.66999999999999</v>
      </c>
      <c r="AU18" s="60">
        <v>4.5</v>
      </c>
      <c r="AV18" s="60">
        <f t="shared" si="18"/>
        <v>75.74072624999998</v>
      </c>
      <c r="AW18" s="60">
        <v>2000</v>
      </c>
      <c r="AX18" s="60"/>
      <c r="AY18" s="60" t="s">
        <v>287</v>
      </c>
      <c r="AZ18" s="60" t="s">
        <v>288</v>
      </c>
      <c r="BA18" s="60" t="s">
        <v>289</v>
      </c>
      <c r="BB18" s="60">
        <v>27.18</v>
      </c>
      <c r="BC18" s="60">
        <v>37.44</v>
      </c>
      <c r="BD18" s="60">
        <v>34.82</v>
      </c>
      <c r="BE18" s="60">
        <v>0</v>
      </c>
      <c r="BF18" s="60">
        <v>6.5</v>
      </c>
      <c r="BG18" s="60"/>
      <c r="BH18" s="80">
        <f t="shared" si="37"/>
        <v>834.55774966142133</v>
      </c>
      <c r="BI18" s="60">
        <f t="shared" si="20"/>
        <v>45.668734927918791</v>
      </c>
      <c r="BJ18" s="80">
        <f t="shared" si="38"/>
        <v>900.02388118059287</v>
      </c>
      <c r="BK18" s="102">
        <f t="shared" si="39"/>
        <v>806.47147768075126</v>
      </c>
      <c r="BL18" s="43"/>
      <c r="BM18" s="43"/>
      <c r="BN18" s="33"/>
      <c r="BR18" s="127"/>
    </row>
    <row r="19" spans="1:70" ht="78.75" x14ac:dyDescent="0.25">
      <c r="A19" s="37" t="s">
        <v>92</v>
      </c>
      <c r="B19" s="78" t="s">
        <v>230</v>
      </c>
      <c r="C19" s="156" t="s">
        <v>234</v>
      </c>
      <c r="D19" s="156" t="s">
        <v>310</v>
      </c>
      <c r="E19" s="156">
        <v>6</v>
      </c>
      <c r="F19" s="46">
        <v>89.61</v>
      </c>
      <c r="G19" s="156">
        <v>0</v>
      </c>
      <c r="H19" s="101">
        <f t="shared" si="23"/>
        <v>0</v>
      </c>
      <c r="I19" s="156"/>
      <c r="J19" s="156">
        <f t="shared" si="24"/>
        <v>0</v>
      </c>
      <c r="K19" s="156"/>
      <c r="L19" s="156">
        <f t="shared" si="25"/>
        <v>0</v>
      </c>
      <c r="M19" s="156"/>
      <c r="N19" s="156"/>
      <c r="O19" s="156">
        <f t="shared" si="26"/>
        <v>0</v>
      </c>
      <c r="P19" s="156"/>
      <c r="Q19" s="156"/>
      <c r="R19" s="156">
        <v>40</v>
      </c>
      <c r="S19" s="156">
        <f t="shared" si="27"/>
        <v>35.844000000000001</v>
      </c>
      <c r="T19" s="156">
        <v>30</v>
      </c>
      <c r="U19" s="156">
        <f t="shared" si="28"/>
        <v>37.636200000000002</v>
      </c>
      <c r="V19" s="156">
        <v>30</v>
      </c>
      <c r="W19" s="156">
        <f t="shared" si="29"/>
        <v>37.636200000000002</v>
      </c>
      <c r="X19" s="60">
        <f t="shared" si="30"/>
        <v>200.72640000000001</v>
      </c>
      <c r="Y19" s="60">
        <f t="shared" si="8"/>
        <v>1.5228426395939085</v>
      </c>
      <c r="Z19" s="60">
        <f t="shared" si="31"/>
        <v>12.043584000000001</v>
      </c>
      <c r="AA19" s="60">
        <f t="shared" si="32"/>
        <v>14.050848000000002</v>
      </c>
      <c r="AB19" s="60">
        <f t="shared" si="33"/>
        <v>228.34367463959393</v>
      </c>
      <c r="AC19" s="60">
        <f t="shared" si="34"/>
        <v>68.959789741157365</v>
      </c>
      <c r="AD19" s="60">
        <f t="shared" si="12"/>
        <v>28.086271980670052</v>
      </c>
      <c r="AE19" s="60">
        <f t="shared" si="13"/>
        <v>19.797396591252795</v>
      </c>
      <c r="AF19" s="60" t="s">
        <v>83</v>
      </c>
      <c r="AG19" s="159">
        <v>30.677966000000001</v>
      </c>
      <c r="AH19" s="60">
        <v>10</v>
      </c>
      <c r="AI19" s="60">
        <v>10</v>
      </c>
      <c r="AJ19" s="60">
        <v>10.9</v>
      </c>
      <c r="AK19" s="60">
        <v>11.799999999999999</v>
      </c>
      <c r="AL19" s="60">
        <f t="shared" si="14"/>
        <v>10.674999999999999</v>
      </c>
      <c r="AM19" s="60">
        <f t="shared" si="15"/>
        <v>327.48728704999996</v>
      </c>
      <c r="AN19" s="60"/>
      <c r="AO19" s="60"/>
      <c r="AP19" s="60"/>
      <c r="AQ19" s="60">
        <f t="shared" si="35"/>
        <v>0</v>
      </c>
      <c r="AR19" s="60">
        <f t="shared" si="36"/>
        <v>327.48728704999996</v>
      </c>
      <c r="AS19" s="60" t="s">
        <v>267</v>
      </c>
      <c r="AT19" s="60">
        <v>157.66999999999999</v>
      </c>
      <c r="AU19" s="60">
        <v>4.5</v>
      </c>
      <c r="AV19" s="60">
        <f t="shared" si="18"/>
        <v>75.74072624999998</v>
      </c>
      <c r="AW19" s="60">
        <v>2000</v>
      </c>
      <c r="AX19" s="60"/>
      <c r="AY19" s="60" t="s">
        <v>287</v>
      </c>
      <c r="AZ19" s="60" t="s">
        <v>288</v>
      </c>
      <c r="BA19" s="60" t="s">
        <v>289</v>
      </c>
      <c r="BB19" s="60">
        <v>27.18</v>
      </c>
      <c r="BC19" s="60">
        <v>37.44</v>
      </c>
      <c r="BD19" s="60">
        <v>34.82</v>
      </c>
      <c r="BE19" s="60">
        <v>0</v>
      </c>
      <c r="BF19" s="60">
        <v>6.5</v>
      </c>
      <c r="BG19" s="60"/>
      <c r="BH19" s="80">
        <f t="shared" si="37"/>
        <v>834.55774966142133</v>
      </c>
      <c r="BI19" s="60">
        <f t="shared" si="20"/>
        <v>45.668734927918791</v>
      </c>
      <c r="BJ19" s="80">
        <f t="shared" si="38"/>
        <v>900.02388118059287</v>
      </c>
      <c r="BK19" s="102">
        <f t="shared" si="39"/>
        <v>806.47147768075126</v>
      </c>
      <c r="BL19" s="43"/>
      <c r="BM19" s="43"/>
      <c r="BN19" s="33"/>
      <c r="BR19" s="127"/>
    </row>
    <row r="20" spans="1:70" ht="78.75" x14ac:dyDescent="0.25">
      <c r="A20" s="37" t="s">
        <v>93</v>
      </c>
      <c r="B20" s="78" t="s">
        <v>229</v>
      </c>
      <c r="C20" s="156" t="s">
        <v>285</v>
      </c>
      <c r="D20" s="156" t="s">
        <v>310</v>
      </c>
      <c r="E20" s="156">
        <v>6</v>
      </c>
      <c r="F20" s="46">
        <v>89.61</v>
      </c>
      <c r="G20" s="156">
        <v>4</v>
      </c>
      <c r="H20" s="101">
        <f t="shared" si="23"/>
        <v>3.5844</v>
      </c>
      <c r="I20" s="156"/>
      <c r="J20" s="156">
        <f t="shared" si="24"/>
        <v>0</v>
      </c>
      <c r="K20" s="156"/>
      <c r="L20" s="156">
        <f t="shared" si="25"/>
        <v>0</v>
      </c>
      <c r="M20" s="156"/>
      <c r="N20" s="156"/>
      <c r="O20" s="156">
        <f t="shared" si="26"/>
        <v>0</v>
      </c>
      <c r="P20" s="156"/>
      <c r="Q20" s="156"/>
      <c r="R20" s="156">
        <v>40</v>
      </c>
      <c r="S20" s="156">
        <f t="shared" si="27"/>
        <v>37.277760000000001</v>
      </c>
      <c r="T20" s="156">
        <v>30</v>
      </c>
      <c r="U20" s="156">
        <f t="shared" si="28"/>
        <v>39.141648000000004</v>
      </c>
      <c r="V20" s="156">
        <v>30</v>
      </c>
      <c r="W20" s="156">
        <f t="shared" si="29"/>
        <v>39.141648000000004</v>
      </c>
      <c r="X20" s="60">
        <f t="shared" si="30"/>
        <v>208.75545600000001</v>
      </c>
      <c r="Y20" s="60">
        <f t="shared" si="8"/>
        <v>1.5228426395939085</v>
      </c>
      <c r="Z20" s="60">
        <f t="shared" si="31"/>
        <v>12.52532736</v>
      </c>
      <c r="AA20" s="60">
        <f t="shared" si="32"/>
        <v>14.612881920000001</v>
      </c>
      <c r="AB20" s="60">
        <f t="shared" si="33"/>
        <v>237.41650791959393</v>
      </c>
      <c r="AC20" s="60">
        <f t="shared" si="34"/>
        <v>71.69978539171737</v>
      </c>
      <c r="AD20" s="60">
        <f t="shared" si="12"/>
        <v>29.202230474110053</v>
      </c>
      <c r="AE20" s="60">
        <f t="shared" si="13"/>
        <v>20.584011236628797</v>
      </c>
      <c r="AF20" s="60" t="s">
        <v>83</v>
      </c>
      <c r="AG20" s="159">
        <v>30.677966000000001</v>
      </c>
      <c r="AH20" s="60">
        <v>15</v>
      </c>
      <c r="AI20" s="60">
        <v>15</v>
      </c>
      <c r="AJ20" s="60">
        <v>16.350000000000001</v>
      </c>
      <c r="AK20" s="60">
        <v>17.7</v>
      </c>
      <c r="AL20" s="60">
        <f t="shared" si="14"/>
        <v>16.012499999999999</v>
      </c>
      <c r="AM20" s="60">
        <f t="shared" si="15"/>
        <v>491.230930575</v>
      </c>
      <c r="AN20" s="60"/>
      <c r="AO20" s="60"/>
      <c r="AP20" s="60"/>
      <c r="AQ20" s="60">
        <f t="shared" si="35"/>
        <v>0</v>
      </c>
      <c r="AR20" s="60">
        <f t="shared" si="36"/>
        <v>491.230930575</v>
      </c>
      <c r="AS20" s="60" t="s">
        <v>267</v>
      </c>
      <c r="AT20" s="60">
        <v>157.66999999999999</v>
      </c>
      <c r="AU20" s="60">
        <v>4.5</v>
      </c>
      <c r="AV20" s="60">
        <f t="shared" si="18"/>
        <v>113.61108937499998</v>
      </c>
      <c r="AW20" s="60">
        <v>2000</v>
      </c>
      <c r="AX20" s="60"/>
      <c r="AY20" s="60" t="s">
        <v>286</v>
      </c>
      <c r="AZ20" s="60">
        <v>9830.51</v>
      </c>
      <c r="BA20" s="80">
        <v>4</v>
      </c>
      <c r="BB20" s="60">
        <f>AZ20*BA20/2000</f>
        <v>19.661020000000001</v>
      </c>
      <c r="BC20" s="60">
        <v>37.44</v>
      </c>
      <c r="BD20" s="60">
        <v>34.82</v>
      </c>
      <c r="BE20" s="60">
        <v>812.66</v>
      </c>
      <c r="BF20" s="60">
        <v>6.5</v>
      </c>
      <c r="BG20" s="60"/>
      <c r="BH20" s="80">
        <f t="shared" si="37"/>
        <v>1854.2415637354211</v>
      </c>
      <c r="BI20" s="60">
        <f t="shared" si="20"/>
        <v>47.483301583918788</v>
      </c>
      <c r="BJ20" s="80">
        <f t="shared" si="38"/>
        <v>1922.3088765559687</v>
      </c>
      <c r="BK20" s="102">
        <f t="shared" si="39"/>
        <v>1825.039333261311</v>
      </c>
      <c r="BL20" s="43"/>
      <c r="BM20" s="43"/>
      <c r="BN20" s="33"/>
      <c r="BR20" s="127"/>
    </row>
    <row r="21" spans="1:70" ht="78.75" x14ac:dyDescent="0.25">
      <c r="A21" s="37" t="s">
        <v>94</v>
      </c>
      <c r="B21" s="78" t="s">
        <v>280</v>
      </c>
      <c r="C21" s="156" t="s">
        <v>281</v>
      </c>
      <c r="D21" s="156" t="s">
        <v>310</v>
      </c>
      <c r="E21" s="156">
        <v>6</v>
      </c>
      <c r="F21" s="46">
        <v>89.61</v>
      </c>
      <c r="G21" s="156">
        <v>6</v>
      </c>
      <c r="H21" s="101">
        <f t="shared" si="23"/>
        <v>5.3765999999999998</v>
      </c>
      <c r="I21" s="156"/>
      <c r="J21" s="156">
        <f t="shared" si="24"/>
        <v>0</v>
      </c>
      <c r="K21" s="156"/>
      <c r="L21" s="156">
        <f t="shared" si="25"/>
        <v>0</v>
      </c>
      <c r="M21" s="156"/>
      <c r="N21" s="156"/>
      <c r="O21" s="156">
        <f t="shared" si="26"/>
        <v>0</v>
      </c>
      <c r="P21" s="156"/>
      <c r="Q21" s="156"/>
      <c r="R21" s="156">
        <v>40</v>
      </c>
      <c r="S21" s="156">
        <f t="shared" si="27"/>
        <v>37.994639999999997</v>
      </c>
      <c r="T21" s="156">
        <v>30</v>
      </c>
      <c r="U21" s="156">
        <f t="shared" si="28"/>
        <v>39.894371999999997</v>
      </c>
      <c r="V21" s="156">
        <v>30</v>
      </c>
      <c r="W21" s="156">
        <f t="shared" si="29"/>
        <v>39.894371999999997</v>
      </c>
      <c r="X21" s="60">
        <f t="shared" si="30"/>
        <v>212.76998399999999</v>
      </c>
      <c r="Y21" s="60">
        <f t="shared" si="8"/>
        <v>1.5228426395939085</v>
      </c>
      <c r="Z21" s="60">
        <f t="shared" si="31"/>
        <v>12.766199039999998</v>
      </c>
      <c r="AA21" s="60">
        <f t="shared" si="32"/>
        <v>14.893898880000002</v>
      </c>
      <c r="AB21" s="60">
        <f t="shared" si="33"/>
        <v>241.9529245595939</v>
      </c>
      <c r="AC21" s="60">
        <f t="shared" si="34"/>
        <v>73.069783216997351</v>
      </c>
      <c r="AD21" s="60">
        <f t="shared" si="12"/>
        <v>29.760209720830048</v>
      </c>
      <c r="AE21" s="60">
        <f t="shared" si="13"/>
        <v>20.977318559316792</v>
      </c>
      <c r="AF21" s="60" t="s">
        <v>83</v>
      </c>
      <c r="AG21" s="159">
        <v>30.677966000000001</v>
      </c>
      <c r="AH21" s="60">
        <v>10</v>
      </c>
      <c r="AI21" s="60">
        <v>10</v>
      </c>
      <c r="AJ21" s="60">
        <v>10.9</v>
      </c>
      <c r="AK21" s="60">
        <v>11.799999999999999</v>
      </c>
      <c r="AL21" s="60">
        <f t="shared" si="14"/>
        <v>10.674999999999999</v>
      </c>
      <c r="AM21" s="60">
        <f t="shared" si="15"/>
        <v>327.48728704999996</v>
      </c>
      <c r="AN21" s="60"/>
      <c r="AO21" s="60"/>
      <c r="AP21" s="60"/>
      <c r="AQ21" s="60">
        <f t="shared" si="35"/>
        <v>0</v>
      </c>
      <c r="AR21" s="60">
        <f t="shared" si="36"/>
        <v>327.48728704999996</v>
      </c>
      <c r="AS21" s="60" t="s">
        <v>267</v>
      </c>
      <c r="AT21" s="60">
        <v>157.66999999999999</v>
      </c>
      <c r="AU21" s="60">
        <v>4.5</v>
      </c>
      <c r="AV21" s="60">
        <f t="shared" si="18"/>
        <v>75.74072624999998</v>
      </c>
      <c r="AW21" s="60">
        <v>2000</v>
      </c>
      <c r="AX21" s="60"/>
      <c r="AY21" s="60" t="s">
        <v>290</v>
      </c>
      <c r="AZ21" s="60">
        <v>19213.560000000001</v>
      </c>
      <c r="BA21" s="80">
        <v>4</v>
      </c>
      <c r="BB21" s="60">
        <f>AZ21*BA21/2000</f>
        <v>38.427120000000002</v>
      </c>
      <c r="BC21" s="60">
        <v>37.44</v>
      </c>
      <c r="BD21" s="60">
        <v>34.82</v>
      </c>
      <c r="BE21" s="60">
        <v>475.16</v>
      </c>
      <c r="BF21" s="60">
        <v>6.5</v>
      </c>
      <c r="BG21" s="60"/>
      <c r="BH21" s="80">
        <f t="shared" si="37"/>
        <v>1340.3580507974214</v>
      </c>
      <c r="BI21" s="60">
        <f t="shared" si="20"/>
        <v>48.390584911918779</v>
      </c>
      <c r="BJ21" s="80">
        <f t="shared" si="38"/>
        <v>1409.7259542686568</v>
      </c>
      <c r="BK21" s="102">
        <f t="shared" si="39"/>
        <v>1310.5978410765913</v>
      </c>
      <c r="BL21" s="43"/>
      <c r="BM21" s="43"/>
      <c r="BN21" s="33"/>
      <c r="BR21" s="127"/>
    </row>
    <row r="22" spans="1:70" ht="78.75" x14ac:dyDescent="0.25">
      <c r="A22" s="37" t="s">
        <v>95</v>
      </c>
      <c r="B22" s="78" t="s">
        <v>280</v>
      </c>
      <c r="C22" s="156" t="s">
        <v>282</v>
      </c>
      <c r="D22" s="156" t="s">
        <v>310</v>
      </c>
      <c r="E22" s="156">
        <v>6</v>
      </c>
      <c r="F22" s="46">
        <v>89.61</v>
      </c>
      <c r="G22" s="156">
        <v>6</v>
      </c>
      <c r="H22" s="101">
        <f t="shared" si="23"/>
        <v>5.3765999999999998</v>
      </c>
      <c r="I22" s="156"/>
      <c r="J22" s="156">
        <f t="shared" si="24"/>
        <v>0</v>
      </c>
      <c r="K22" s="156"/>
      <c r="L22" s="156">
        <f t="shared" si="25"/>
        <v>0</v>
      </c>
      <c r="M22" s="156"/>
      <c r="N22" s="156"/>
      <c r="O22" s="156">
        <f t="shared" si="26"/>
        <v>0</v>
      </c>
      <c r="P22" s="156"/>
      <c r="Q22" s="156"/>
      <c r="R22" s="156">
        <v>40</v>
      </c>
      <c r="S22" s="156">
        <f t="shared" si="27"/>
        <v>37.994639999999997</v>
      </c>
      <c r="T22" s="156">
        <v>30</v>
      </c>
      <c r="U22" s="156">
        <f t="shared" si="28"/>
        <v>39.894371999999997</v>
      </c>
      <c r="V22" s="156">
        <v>30</v>
      </c>
      <c r="W22" s="156">
        <f t="shared" si="29"/>
        <v>39.894371999999997</v>
      </c>
      <c r="X22" s="60">
        <f t="shared" si="30"/>
        <v>212.76998399999999</v>
      </c>
      <c r="Y22" s="60">
        <f t="shared" si="8"/>
        <v>1.5228426395939085</v>
      </c>
      <c r="Z22" s="60">
        <f t="shared" si="31"/>
        <v>12.766199039999998</v>
      </c>
      <c r="AA22" s="60">
        <f t="shared" si="32"/>
        <v>14.893898880000002</v>
      </c>
      <c r="AB22" s="60">
        <f t="shared" si="33"/>
        <v>241.9529245595939</v>
      </c>
      <c r="AC22" s="60">
        <f t="shared" si="34"/>
        <v>73.069783216997351</v>
      </c>
      <c r="AD22" s="60">
        <f t="shared" si="12"/>
        <v>29.760209720830048</v>
      </c>
      <c r="AE22" s="60">
        <f t="shared" si="13"/>
        <v>20.977318559316792</v>
      </c>
      <c r="AF22" s="60" t="s">
        <v>83</v>
      </c>
      <c r="AG22" s="159">
        <v>30.677966000000001</v>
      </c>
      <c r="AH22" s="60">
        <v>10</v>
      </c>
      <c r="AI22" s="60">
        <v>10</v>
      </c>
      <c r="AJ22" s="60">
        <v>10.9</v>
      </c>
      <c r="AK22" s="60">
        <v>11.799999999999999</v>
      </c>
      <c r="AL22" s="60">
        <f t="shared" si="14"/>
        <v>10.674999999999999</v>
      </c>
      <c r="AM22" s="60">
        <f t="shared" si="15"/>
        <v>327.48728704999996</v>
      </c>
      <c r="AN22" s="60"/>
      <c r="AO22" s="60"/>
      <c r="AP22" s="60"/>
      <c r="AQ22" s="60">
        <f t="shared" si="35"/>
        <v>0</v>
      </c>
      <c r="AR22" s="60">
        <f t="shared" si="36"/>
        <v>327.48728704999996</v>
      </c>
      <c r="AS22" s="60" t="s">
        <v>267</v>
      </c>
      <c r="AT22" s="60">
        <v>157.66999999999999</v>
      </c>
      <c r="AU22" s="60">
        <v>4.5</v>
      </c>
      <c r="AV22" s="60">
        <f t="shared" si="18"/>
        <v>75.74072624999998</v>
      </c>
      <c r="AW22" s="60">
        <v>2000</v>
      </c>
      <c r="AX22" s="60"/>
      <c r="AY22" s="60" t="s">
        <v>290</v>
      </c>
      <c r="AZ22" s="60">
        <v>19213.560000000001</v>
      </c>
      <c r="BA22" s="80">
        <v>4</v>
      </c>
      <c r="BB22" s="60">
        <f>AZ22*BA22/2000</f>
        <v>38.427120000000002</v>
      </c>
      <c r="BC22" s="60">
        <v>37.44</v>
      </c>
      <c r="BD22" s="60">
        <v>34.82</v>
      </c>
      <c r="BE22" s="60">
        <v>475.16</v>
      </c>
      <c r="BF22" s="60">
        <v>6.5</v>
      </c>
      <c r="BG22" s="60"/>
      <c r="BH22" s="80">
        <f t="shared" si="37"/>
        <v>1340.3580507974214</v>
      </c>
      <c r="BI22" s="60">
        <f t="shared" si="20"/>
        <v>48.390584911918779</v>
      </c>
      <c r="BJ22" s="80">
        <f t="shared" si="38"/>
        <v>1409.7259542686568</v>
      </c>
      <c r="BK22" s="102">
        <f t="shared" si="39"/>
        <v>1310.5978410765913</v>
      </c>
      <c r="BL22" s="43"/>
      <c r="BM22" s="43"/>
      <c r="BN22" s="33"/>
      <c r="BR22" s="127"/>
    </row>
    <row r="23" spans="1:70" ht="78.75" x14ac:dyDescent="0.25">
      <c r="A23" s="37" t="s">
        <v>96</v>
      </c>
      <c r="B23" s="156" t="s">
        <v>337</v>
      </c>
      <c r="C23" s="120" t="s">
        <v>338</v>
      </c>
      <c r="D23" s="156" t="s">
        <v>310</v>
      </c>
      <c r="E23" s="156">
        <v>6</v>
      </c>
      <c r="F23" s="46">
        <v>89.61</v>
      </c>
      <c r="G23" s="156">
        <v>6</v>
      </c>
      <c r="H23" s="156">
        <f>F23*G23/100</f>
        <v>5.3765999999999998</v>
      </c>
      <c r="I23" s="156"/>
      <c r="J23" s="156">
        <f>F23*I23/100</f>
        <v>0</v>
      </c>
      <c r="K23" s="156"/>
      <c r="L23" s="156">
        <f>F23*K23/100</f>
        <v>0</v>
      </c>
      <c r="M23" s="156"/>
      <c r="N23" s="156"/>
      <c r="O23" s="156">
        <f>F23*N23/100</f>
        <v>0</v>
      </c>
      <c r="P23" s="156"/>
      <c r="Q23" s="156"/>
      <c r="R23" s="156">
        <v>40</v>
      </c>
      <c r="S23" s="156">
        <f>(F23+H23+J23+L23+M23+O23+Q23)*R23/100</f>
        <v>37.994639999999997</v>
      </c>
      <c r="T23" s="156">
        <v>30</v>
      </c>
      <c r="U23" s="156">
        <f>(F23+H23+J23+L23+M23+O23+Q23+S23)*30/100</f>
        <v>39.894371999999997</v>
      </c>
      <c r="V23" s="156">
        <v>30</v>
      </c>
      <c r="W23" s="156">
        <f>U23</f>
        <v>39.894371999999997</v>
      </c>
      <c r="X23" s="60">
        <f>F23+H23+J23+L23+M23+O23+Q23+S23+U23+W23</f>
        <v>212.76998399999999</v>
      </c>
      <c r="Y23" s="60">
        <f>3000/1970</f>
        <v>1.5228426395939085</v>
      </c>
      <c r="Z23" s="60">
        <f>X23*0.06</f>
        <v>12.766199039999998</v>
      </c>
      <c r="AA23" s="60">
        <f>X23*0.07</f>
        <v>14.893898880000002</v>
      </c>
      <c r="AB23" s="60">
        <f>X23+Y23+Z23+AA23</f>
        <v>241.9529245595939</v>
      </c>
      <c r="AC23" s="60">
        <f t="shared" si="34"/>
        <v>73.069783216997351</v>
      </c>
      <c r="AD23" s="60">
        <f t="shared" si="12"/>
        <v>29.760209720830048</v>
      </c>
      <c r="AE23" s="60">
        <f t="shared" si="13"/>
        <v>20.977318559316792</v>
      </c>
      <c r="AF23" s="60" t="s">
        <v>83</v>
      </c>
      <c r="AG23" s="159">
        <v>30.677966000000001</v>
      </c>
      <c r="AH23" s="60">
        <v>7</v>
      </c>
      <c r="AI23" s="60">
        <v>7</v>
      </c>
      <c r="AJ23" s="60">
        <v>7.6300000000000008</v>
      </c>
      <c r="AK23" s="60">
        <v>8.26</v>
      </c>
      <c r="AL23" s="60">
        <f t="shared" si="14"/>
        <v>7.4725000000000001</v>
      </c>
      <c r="AM23" s="60">
        <f>AG23*AL23</f>
        <v>229.24110093500002</v>
      </c>
      <c r="AN23" s="60"/>
      <c r="AO23" s="60"/>
      <c r="AP23" s="60"/>
      <c r="AQ23" s="60">
        <f>AG23*AO23*AP23</f>
        <v>0</v>
      </c>
      <c r="AR23" s="60">
        <f>AM23+AQ23</f>
        <v>229.24110093500002</v>
      </c>
      <c r="AS23" s="60" t="s">
        <v>172</v>
      </c>
      <c r="AT23" s="60">
        <v>63.56</v>
      </c>
      <c r="AU23" s="60">
        <v>5.4</v>
      </c>
      <c r="AV23" s="60">
        <f>AL23*AU23/100*AT23</f>
        <v>25.647413400000001</v>
      </c>
      <c r="AW23" s="60">
        <v>2000</v>
      </c>
      <c r="AX23" s="60"/>
      <c r="AY23" s="60" t="s">
        <v>182</v>
      </c>
      <c r="AZ23" s="60" t="s">
        <v>183</v>
      </c>
      <c r="BA23" s="60" t="s">
        <v>184</v>
      </c>
      <c r="BB23" s="60">
        <f>34244.08/AW23</f>
        <v>17.122040000000002</v>
      </c>
      <c r="BC23" s="60">
        <f>37.44*2.5</f>
        <v>93.6</v>
      </c>
      <c r="BD23" s="60">
        <v>34.82</v>
      </c>
      <c r="BE23" s="60">
        <v>0</v>
      </c>
      <c r="BF23" s="60">
        <v>6.5</v>
      </c>
      <c r="BG23" s="60"/>
      <c r="BH23" s="80">
        <f>AB23+AC23+AD23+AR23+AV23+BB23+BC23+BD23+BE23+BF23+BG23</f>
        <v>751.71347183242142</v>
      </c>
      <c r="BI23" s="60">
        <f t="shared" si="20"/>
        <v>48.390584911918779</v>
      </c>
      <c r="BJ23" s="80">
        <f>BH23+AE23+BI23</f>
        <v>821.08137530365707</v>
      </c>
      <c r="BK23" s="102">
        <f>BH23-AD23</f>
        <v>721.95326211159136</v>
      </c>
      <c r="BL23" s="43"/>
      <c r="BM23" s="43"/>
      <c r="BN23" s="33"/>
      <c r="BR23" s="127"/>
    </row>
    <row r="24" spans="1:70" ht="78.75" x14ac:dyDescent="0.25">
      <c r="A24" s="37" t="s">
        <v>97</v>
      </c>
      <c r="B24" s="156" t="s">
        <v>337</v>
      </c>
      <c r="C24" s="120" t="s">
        <v>339</v>
      </c>
      <c r="D24" s="156" t="s">
        <v>310</v>
      </c>
      <c r="E24" s="156">
        <v>6</v>
      </c>
      <c r="F24" s="46">
        <v>89.61</v>
      </c>
      <c r="G24" s="156">
        <v>6</v>
      </c>
      <c r="H24" s="156">
        <f>F24*G24/100</f>
        <v>5.3765999999999998</v>
      </c>
      <c r="I24" s="156"/>
      <c r="J24" s="156">
        <f>F24*I24/100</f>
        <v>0</v>
      </c>
      <c r="K24" s="156"/>
      <c r="L24" s="156">
        <f>F24*K24/100</f>
        <v>0</v>
      </c>
      <c r="M24" s="156"/>
      <c r="N24" s="156"/>
      <c r="O24" s="156">
        <f>F24*N24/100</f>
        <v>0</v>
      </c>
      <c r="P24" s="156"/>
      <c r="Q24" s="156"/>
      <c r="R24" s="156">
        <v>40</v>
      </c>
      <c r="S24" s="156">
        <f>(F24+H24+J24+L24+M24+O24+Q24)*R24/100</f>
        <v>37.994639999999997</v>
      </c>
      <c r="T24" s="156">
        <v>30</v>
      </c>
      <c r="U24" s="156">
        <f>(F24+H24+J24+L24+M24+O24+Q24+S24)*30/100</f>
        <v>39.894371999999997</v>
      </c>
      <c r="V24" s="156">
        <v>30</v>
      </c>
      <c r="W24" s="156">
        <f>U24</f>
        <v>39.894371999999997</v>
      </c>
      <c r="X24" s="60">
        <f>F24+H24+J24+L24+M24+O24+Q24+S24+U24+W24</f>
        <v>212.76998399999999</v>
      </c>
      <c r="Y24" s="60">
        <f>3000/1970</f>
        <v>1.5228426395939085</v>
      </c>
      <c r="Z24" s="60">
        <f>X24*0.06</f>
        <v>12.766199039999998</v>
      </c>
      <c r="AA24" s="60">
        <f>X24*0.07</f>
        <v>14.893898880000002</v>
      </c>
      <c r="AB24" s="60">
        <f>X24+Y24+Z24+AA24</f>
        <v>241.9529245595939</v>
      </c>
      <c r="AC24" s="60">
        <f t="shared" si="34"/>
        <v>73.069783216997351</v>
      </c>
      <c r="AD24" s="60">
        <f t="shared" si="12"/>
        <v>29.760209720830048</v>
      </c>
      <c r="AE24" s="60">
        <f t="shared" si="13"/>
        <v>20.977318559316792</v>
      </c>
      <c r="AF24" s="60" t="s">
        <v>83</v>
      </c>
      <c r="AG24" s="159">
        <v>30.677966000000001</v>
      </c>
      <c r="AH24" s="60">
        <v>7</v>
      </c>
      <c r="AI24" s="60">
        <v>7</v>
      </c>
      <c r="AJ24" s="60">
        <v>7.6300000000000008</v>
      </c>
      <c r="AK24" s="60">
        <v>8.26</v>
      </c>
      <c r="AL24" s="60">
        <f t="shared" si="14"/>
        <v>7.4725000000000001</v>
      </c>
      <c r="AM24" s="60">
        <f>AG24*AL24</f>
        <v>229.24110093500002</v>
      </c>
      <c r="AN24" s="60"/>
      <c r="AO24" s="60"/>
      <c r="AP24" s="60"/>
      <c r="AQ24" s="60">
        <f>AG24*AO24*AP24</f>
        <v>0</v>
      </c>
      <c r="AR24" s="60">
        <f>AM24+AQ24</f>
        <v>229.24110093500002</v>
      </c>
      <c r="AS24" s="60" t="s">
        <v>172</v>
      </c>
      <c r="AT24" s="60">
        <v>63.56</v>
      </c>
      <c r="AU24" s="60">
        <v>5.4</v>
      </c>
      <c r="AV24" s="60">
        <f>AL24*AU24/100*AT24</f>
        <v>25.647413400000001</v>
      </c>
      <c r="AW24" s="60">
        <v>2000</v>
      </c>
      <c r="AX24" s="60"/>
      <c r="AY24" s="60" t="s">
        <v>182</v>
      </c>
      <c r="AZ24" s="60" t="s">
        <v>183</v>
      </c>
      <c r="BA24" s="60" t="s">
        <v>184</v>
      </c>
      <c r="BB24" s="60">
        <f>34244.08/AW24</f>
        <v>17.122040000000002</v>
      </c>
      <c r="BC24" s="60">
        <f>37.44*2.5</f>
        <v>93.6</v>
      </c>
      <c r="BD24" s="60">
        <v>34.82</v>
      </c>
      <c r="BE24" s="60">
        <v>0</v>
      </c>
      <c r="BF24" s="60">
        <v>6.5</v>
      </c>
      <c r="BG24" s="60"/>
      <c r="BH24" s="80">
        <f>AB24+AC24+AD24+AR24+AV24+BB24+BC24+BD24+BE24+BF24+BG24</f>
        <v>751.71347183242142</v>
      </c>
      <c r="BI24" s="60">
        <f t="shared" si="20"/>
        <v>48.390584911918779</v>
      </c>
      <c r="BJ24" s="80">
        <f>BH24+AE24+BI24</f>
        <v>821.08137530365707</v>
      </c>
      <c r="BK24" s="102">
        <f>BH24-AD24</f>
        <v>721.95326211159136</v>
      </c>
      <c r="BL24" s="43"/>
      <c r="BM24" s="43"/>
      <c r="BN24" s="33"/>
      <c r="BR24" s="127"/>
    </row>
    <row r="25" spans="1:70" ht="78.75" x14ac:dyDescent="0.25">
      <c r="A25" s="37" t="s">
        <v>98</v>
      </c>
      <c r="B25" s="156" t="s">
        <v>352</v>
      </c>
      <c r="C25" s="120" t="s">
        <v>340</v>
      </c>
      <c r="D25" s="156" t="s">
        <v>313</v>
      </c>
      <c r="E25" s="156">
        <v>3</v>
      </c>
      <c r="F25" s="46">
        <v>57.98</v>
      </c>
      <c r="G25" s="156">
        <v>4</v>
      </c>
      <c r="H25" s="156">
        <f>F25*G25/100</f>
        <v>2.3191999999999999</v>
      </c>
      <c r="I25" s="156"/>
      <c r="J25" s="156">
        <f>F25*I25/100</f>
        <v>0</v>
      </c>
      <c r="K25" s="156"/>
      <c r="L25" s="156">
        <f>F25*K25/100</f>
        <v>0</v>
      </c>
      <c r="M25" s="156"/>
      <c r="N25" s="156"/>
      <c r="O25" s="156">
        <f>F25*N25/100</f>
        <v>0</v>
      </c>
      <c r="P25" s="156"/>
      <c r="Q25" s="156"/>
      <c r="R25" s="156">
        <v>40</v>
      </c>
      <c r="S25" s="156">
        <f>(F25+H25+J25+L25+M25+O25+Q25)*R25/100</f>
        <v>24.119679999999999</v>
      </c>
      <c r="T25" s="156">
        <v>30</v>
      </c>
      <c r="U25" s="156">
        <f>(F25+H25+J25+L25+M25+O25+Q25+S25)*30/100</f>
        <v>25.325664000000003</v>
      </c>
      <c r="V25" s="156">
        <v>30</v>
      </c>
      <c r="W25" s="156">
        <f>U25</f>
        <v>25.325664000000003</v>
      </c>
      <c r="X25" s="60">
        <f>F25+H25+J25+L25+M25+O25+Q25+S25+U25+W25</f>
        <v>135.07020800000001</v>
      </c>
      <c r="Y25" s="60">
        <f>3000/1970</f>
        <v>1.5228426395939085</v>
      </c>
      <c r="Z25" s="60">
        <f>X25*0.06</f>
        <v>8.1042124800000011</v>
      </c>
      <c r="AA25" s="60">
        <f>X25*0.07</f>
        <v>9.4549145600000006</v>
      </c>
      <c r="AB25" s="60">
        <f>X25+Y25+Z25+AA25</f>
        <v>154.1521776795939</v>
      </c>
      <c r="AC25" s="60">
        <f t="shared" si="34"/>
        <v>46.553957659237355</v>
      </c>
      <c r="AD25" s="60">
        <f t="shared" si="12"/>
        <v>18.960717854590051</v>
      </c>
      <c r="AE25" s="60">
        <f t="shared" si="13"/>
        <v>13.364993804820791</v>
      </c>
      <c r="AF25" s="60" t="s">
        <v>83</v>
      </c>
      <c r="AG25" s="159">
        <v>30.677966000000001</v>
      </c>
      <c r="AH25" s="60">
        <v>5.2</v>
      </c>
      <c r="AI25" s="60">
        <v>5.2</v>
      </c>
      <c r="AJ25" s="60">
        <v>5.668000000000001</v>
      </c>
      <c r="AK25" s="60">
        <v>6.1360000000000001</v>
      </c>
      <c r="AL25" s="60">
        <f t="shared" si="14"/>
        <v>5.551000000000001</v>
      </c>
      <c r="AM25" s="60">
        <f>AG25*AL25</f>
        <v>170.29338926600005</v>
      </c>
      <c r="AN25" s="60"/>
      <c r="AO25" s="60"/>
      <c r="AP25" s="60"/>
      <c r="AQ25" s="60">
        <f>AG25*AO25*AP25</f>
        <v>0</v>
      </c>
      <c r="AR25" s="60">
        <f>AM25+AQ25</f>
        <v>170.29338926600005</v>
      </c>
      <c r="AS25" s="60" t="s">
        <v>267</v>
      </c>
      <c r="AT25" s="60">
        <v>157.66999999999999</v>
      </c>
      <c r="AU25" s="60">
        <v>4.5</v>
      </c>
      <c r="AV25" s="60">
        <f>AL25*AU25/100*AT25</f>
        <v>39.385177650000003</v>
      </c>
      <c r="AW25" s="60">
        <v>2000</v>
      </c>
      <c r="AX25" s="60"/>
      <c r="AY25" s="60" t="s">
        <v>354</v>
      </c>
      <c r="AZ25" s="60">
        <v>4610</v>
      </c>
      <c r="BA25" s="80">
        <v>4</v>
      </c>
      <c r="BB25" s="60">
        <f>AZ25*BA25/2000</f>
        <v>9.2200000000000006</v>
      </c>
      <c r="BC25" s="60">
        <v>37.44</v>
      </c>
      <c r="BD25" s="60">
        <v>34.82</v>
      </c>
      <c r="BE25" s="60">
        <v>0</v>
      </c>
      <c r="BF25" s="60">
        <v>6.5</v>
      </c>
      <c r="BG25" s="60"/>
      <c r="BH25" s="80">
        <f>AB25+AC25+AD25+AR25+AV25+BB25+BC25+BD25+BE25+BF25+BG25</f>
        <v>517.32542010942143</v>
      </c>
      <c r="BI25" s="60">
        <f t="shared" si="20"/>
        <v>30.830435535918781</v>
      </c>
      <c r="BJ25" s="80">
        <f>BH25+AE25+BI25</f>
        <v>561.52084945016099</v>
      </c>
      <c r="BK25" s="102">
        <f>BH25-AD25</f>
        <v>498.3647022548314</v>
      </c>
      <c r="BL25" s="43"/>
      <c r="BM25" s="43"/>
      <c r="BN25" s="33"/>
      <c r="BR25" s="127"/>
    </row>
    <row r="26" spans="1:70" ht="63" x14ac:dyDescent="0.25">
      <c r="A26" s="37" t="s">
        <v>99</v>
      </c>
      <c r="B26" s="156" t="s">
        <v>17</v>
      </c>
      <c r="C26" s="156" t="s">
        <v>18</v>
      </c>
      <c r="D26" s="156" t="s">
        <v>311</v>
      </c>
      <c r="E26" s="156">
        <v>4</v>
      </c>
      <c r="F26" s="156">
        <v>63.25</v>
      </c>
      <c r="G26" s="156">
        <v>0</v>
      </c>
      <c r="H26" s="101">
        <f t="shared" si="0"/>
        <v>0</v>
      </c>
      <c r="I26" s="156"/>
      <c r="J26" s="156">
        <f t="shared" si="1"/>
        <v>0</v>
      </c>
      <c r="K26" s="156"/>
      <c r="L26" s="156">
        <f t="shared" si="2"/>
        <v>0</v>
      </c>
      <c r="M26" s="156"/>
      <c r="N26" s="156">
        <v>25</v>
      </c>
      <c r="O26" s="156">
        <f t="shared" si="3"/>
        <v>15.8125</v>
      </c>
      <c r="P26" s="156"/>
      <c r="Q26" s="156"/>
      <c r="R26" s="156">
        <v>40</v>
      </c>
      <c r="S26" s="156">
        <f t="shared" si="4"/>
        <v>31.625</v>
      </c>
      <c r="T26" s="156">
        <v>30</v>
      </c>
      <c r="U26" s="156">
        <f t="shared" si="5"/>
        <v>33.206249999999997</v>
      </c>
      <c r="V26" s="156">
        <v>30</v>
      </c>
      <c r="W26" s="156">
        <f t="shared" si="6"/>
        <v>33.206249999999997</v>
      </c>
      <c r="X26" s="60">
        <f t="shared" si="7"/>
        <v>177.10000000000002</v>
      </c>
      <c r="Y26" s="60">
        <f t="shared" si="8"/>
        <v>1.5228426395939085</v>
      </c>
      <c r="Z26" s="60">
        <f t="shared" si="9"/>
        <v>10.626000000000001</v>
      </c>
      <c r="AA26" s="60">
        <f t="shared" si="10"/>
        <v>12.397000000000002</v>
      </c>
      <c r="AB26" s="60">
        <f t="shared" si="11"/>
        <v>201.64584263959392</v>
      </c>
      <c r="AC26" s="60">
        <f t="shared" si="34"/>
        <v>60.897044477157365</v>
      </c>
      <c r="AD26" s="60">
        <f t="shared" si="12"/>
        <v>24.802438644670051</v>
      </c>
      <c r="AE26" s="60">
        <f t="shared" si="13"/>
        <v>17.482694556852792</v>
      </c>
      <c r="AF26" s="60" t="s">
        <v>84</v>
      </c>
      <c r="AG26" s="159">
        <v>29.524999999999999</v>
      </c>
      <c r="AH26" s="60">
        <v>8.5</v>
      </c>
      <c r="AI26" s="60">
        <v>11.05</v>
      </c>
      <c r="AJ26" s="60">
        <v>11.815000000000001</v>
      </c>
      <c r="AK26" s="60">
        <v>12.58</v>
      </c>
      <c r="AL26" s="60">
        <f t="shared" si="14"/>
        <v>11.623750000000001</v>
      </c>
      <c r="AM26" s="60">
        <f t="shared" ref="AM26:AM44" si="40">AG26*AL26/100*23</f>
        <v>78.933980312499997</v>
      </c>
      <c r="AN26" s="60"/>
      <c r="AO26" s="60"/>
      <c r="AP26" s="60"/>
      <c r="AQ26" s="60">
        <f t="shared" si="16"/>
        <v>0</v>
      </c>
      <c r="AR26" s="60">
        <f t="shared" si="17"/>
        <v>78.933980312499997</v>
      </c>
      <c r="AS26" s="60" t="s">
        <v>173</v>
      </c>
      <c r="AT26" s="60">
        <v>158.47999999999999</v>
      </c>
      <c r="AU26" s="60">
        <v>0.72</v>
      </c>
      <c r="AV26" s="60">
        <f>AL26/100*23*AU26/100*AT26</f>
        <v>3.0505704263999998</v>
      </c>
      <c r="AW26" s="60">
        <v>33000</v>
      </c>
      <c r="AX26" s="60">
        <v>23</v>
      </c>
      <c r="AY26" s="60" t="s">
        <v>185</v>
      </c>
      <c r="AZ26" s="60">
        <v>3231</v>
      </c>
      <c r="BA26" s="80">
        <v>4</v>
      </c>
      <c r="BB26" s="60">
        <f t="shared" ref="BB26:BB44" si="41">AZ26*BA26/AW26*AX26</f>
        <v>9.0076363636363634</v>
      </c>
      <c r="BC26" s="60">
        <v>37.44</v>
      </c>
      <c r="BD26" s="60">
        <v>34.82</v>
      </c>
      <c r="BE26" s="60"/>
      <c r="BF26" s="60">
        <v>6.5</v>
      </c>
      <c r="BG26" s="60"/>
      <c r="BH26" s="80">
        <f t="shared" si="19"/>
        <v>457.09751286395772</v>
      </c>
      <c r="BI26" s="60">
        <f t="shared" si="20"/>
        <v>40.329168527918789</v>
      </c>
      <c r="BJ26" s="80">
        <f t="shared" si="21"/>
        <v>514.90937594872923</v>
      </c>
      <c r="BK26" s="102"/>
      <c r="BL26" s="43"/>
      <c r="BM26" s="43"/>
      <c r="BN26" s="33"/>
      <c r="BR26" s="127"/>
    </row>
    <row r="27" spans="1:70" ht="63" x14ac:dyDescent="0.25">
      <c r="A27" s="37" t="s">
        <v>100</v>
      </c>
      <c r="B27" s="156" t="s">
        <v>19</v>
      </c>
      <c r="C27" s="156" t="s">
        <v>20</v>
      </c>
      <c r="D27" s="156" t="s">
        <v>311</v>
      </c>
      <c r="E27" s="156">
        <v>4</v>
      </c>
      <c r="F27" s="156">
        <v>63.25</v>
      </c>
      <c r="G27" s="156"/>
      <c r="H27" s="101">
        <f t="shared" si="0"/>
        <v>0</v>
      </c>
      <c r="I27" s="156"/>
      <c r="J27" s="156">
        <f t="shared" si="1"/>
        <v>0</v>
      </c>
      <c r="K27" s="156"/>
      <c r="L27" s="156">
        <f t="shared" si="2"/>
        <v>0</v>
      </c>
      <c r="M27" s="156"/>
      <c r="N27" s="156">
        <v>25</v>
      </c>
      <c r="O27" s="156">
        <f t="shared" si="3"/>
        <v>15.8125</v>
      </c>
      <c r="P27" s="156"/>
      <c r="Q27" s="156"/>
      <c r="R27" s="156">
        <v>40</v>
      </c>
      <c r="S27" s="156">
        <f t="shared" si="4"/>
        <v>31.625</v>
      </c>
      <c r="T27" s="156">
        <v>30</v>
      </c>
      <c r="U27" s="156">
        <f t="shared" si="5"/>
        <v>33.206249999999997</v>
      </c>
      <c r="V27" s="156">
        <v>30</v>
      </c>
      <c r="W27" s="156">
        <f t="shared" si="6"/>
        <v>33.206249999999997</v>
      </c>
      <c r="X27" s="60">
        <f t="shared" si="7"/>
        <v>177.10000000000002</v>
      </c>
      <c r="Y27" s="60">
        <f t="shared" si="8"/>
        <v>1.5228426395939085</v>
      </c>
      <c r="Z27" s="60">
        <f t="shared" si="9"/>
        <v>10.626000000000001</v>
      </c>
      <c r="AA27" s="60">
        <f t="shared" si="10"/>
        <v>12.397000000000002</v>
      </c>
      <c r="AB27" s="60">
        <f t="shared" si="11"/>
        <v>201.64584263959392</v>
      </c>
      <c r="AC27" s="60">
        <f t="shared" si="34"/>
        <v>60.897044477157365</v>
      </c>
      <c r="AD27" s="60">
        <f t="shared" si="12"/>
        <v>24.802438644670051</v>
      </c>
      <c r="AE27" s="60">
        <f t="shared" si="13"/>
        <v>17.482694556852792</v>
      </c>
      <c r="AF27" s="60" t="s">
        <v>84</v>
      </c>
      <c r="AG27" s="159">
        <v>29.524999999999999</v>
      </c>
      <c r="AH27" s="60">
        <v>8.9</v>
      </c>
      <c r="AI27" s="60">
        <v>10.68</v>
      </c>
      <c r="AJ27" s="60">
        <v>11.481000000000002</v>
      </c>
      <c r="AK27" s="60">
        <v>12.282</v>
      </c>
      <c r="AL27" s="60">
        <f t="shared" si="14"/>
        <v>11.280749999999999</v>
      </c>
      <c r="AM27" s="60">
        <f t="shared" si="40"/>
        <v>76.604753062499995</v>
      </c>
      <c r="AN27" s="60"/>
      <c r="AO27" s="60"/>
      <c r="AP27" s="60"/>
      <c r="AQ27" s="60">
        <f t="shared" si="16"/>
        <v>0</v>
      </c>
      <c r="AR27" s="60">
        <f t="shared" si="17"/>
        <v>76.604753062499995</v>
      </c>
      <c r="AS27" s="60" t="s">
        <v>173</v>
      </c>
      <c r="AT27" s="60">
        <v>158.47999999999999</v>
      </c>
      <c r="AU27" s="60">
        <v>0.6</v>
      </c>
      <c r="AV27" s="60">
        <f t="shared" ref="AV27:AV44" si="42">AL27/100*23*AU27/100*AT27</f>
        <v>2.4671270987999994</v>
      </c>
      <c r="AW27" s="60">
        <v>33000</v>
      </c>
      <c r="AX27" s="60">
        <v>23</v>
      </c>
      <c r="AY27" s="60" t="s">
        <v>185</v>
      </c>
      <c r="AZ27" s="60">
        <v>3231</v>
      </c>
      <c r="BA27" s="80">
        <v>4</v>
      </c>
      <c r="BB27" s="60">
        <f t="shared" si="41"/>
        <v>9.0076363636363634</v>
      </c>
      <c r="BC27" s="60">
        <v>37.44</v>
      </c>
      <c r="BD27" s="60">
        <v>34.82</v>
      </c>
      <c r="BE27" s="60">
        <v>17.96</v>
      </c>
      <c r="BF27" s="60">
        <v>6.5</v>
      </c>
      <c r="BG27" s="60"/>
      <c r="BH27" s="80">
        <f t="shared" si="19"/>
        <v>472.14484228635769</v>
      </c>
      <c r="BI27" s="60">
        <f t="shared" si="20"/>
        <v>40.329168527918789</v>
      </c>
      <c r="BJ27" s="80">
        <f t="shared" si="21"/>
        <v>529.95670537112926</v>
      </c>
      <c r="BK27" s="102"/>
      <c r="BL27" s="43"/>
      <c r="BM27" s="43"/>
      <c r="BN27" s="33"/>
      <c r="BR27" s="127"/>
    </row>
    <row r="28" spans="1:70" ht="63" x14ac:dyDescent="0.25">
      <c r="A28" s="37" t="s">
        <v>101</v>
      </c>
      <c r="B28" s="156" t="s">
        <v>19</v>
      </c>
      <c r="C28" s="156" t="s">
        <v>21</v>
      </c>
      <c r="D28" s="156" t="s">
        <v>311</v>
      </c>
      <c r="E28" s="156">
        <v>4</v>
      </c>
      <c r="F28" s="156">
        <v>63.25</v>
      </c>
      <c r="G28" s="156"/>
      <c r="H28" s="101">
        <f t="shared" si="0"/>
        <v>0</v>
      </c>
      <c r="I28" s="156"/>
      <c r="J28" s="156">
        <f t="shared" si="1"/>
        <v>0</v>
      </c>
      <c r="K28" s="156"/>
      <c r="L28" s="156">
        <f t="shared" si="2"/>
        <v>0</v>
      </c>
      <c r="M28" s="156"/>
      <c r="N28" s="156">
        <v>25</v>
      </c>
      <c r="O28" s="156">
        <f t="shared" si="3"/>
        <v>15.8125</v>
      </c>
      <c r="P28" s="156"/>
      <c r="Q28" s="156"/>
      <c r="R28" s="156">
        <v>40</v>
      </c>
      <c r="S28" s="156">
        <f t="shared" si="4"/>
        <v>31.625</v>
      </c>
      <c r="T28" s="156">
        <v>30</v>
      </c>
      <c r="U28" s="156">
        <f t="shared" si="5"/>
        <v>33.206249999999997</v>
      </c>
      <c r="V28" s="156">
        <v>30</v>
      </c>
      <c r="W28" s="156">
        <f t="shared" si="6"/>
        <v>33.206249999999997</v>
      </c>
      <c r="X28" s="60">
        <f t="shared" si="7"/>
        <v>177.10000000000002</v>
      </c>
      <c r="Y28" s="60">
        <f t="shared" si="8"/>
        <v>1.5228426395939085</v>
      </c>
      <c r="Z28" s="60">
        <f t="shared" si="9"/>
        <v>10.626000000000001</v>
      </c>
      <c r="AA28" s="60">
        <f t="shared" si="10"/>
        <v>12.397000000000002</v>
      </c>
      <c r="AB28" s="60">
        <f t="shared" si="11"/>
        <v>201.64584263959392</v>
      </c>
      <c r="AC28" s="60">
        <f t="shared" si="34"/>
        <v>60.897044477157365</v>
      </c>
      <c r="AD28" s="60">
        <f t="shared" si="12"/>
        <v>24.802438644670051</v>
      </c>
      <c r="AE28" s="60">
        <f t="shared" si="13"/>
        <v>17.482694556852792</v>
      </c>
      <c r="AF28" s="60" t="s">
        <v>84</v>
      </c>
      <c r="AG28" s="159">
        <v>29.524999999999999</v>
      </c>
      <c r="AH28" s="60">
        <v>8.9</v>
      </c>
      <c r="AI28" s="60">
        <v>10.68</v>
      </c>
      <c r="AJ28" s="60">
        <v>11.481000000000002</v>
      </c>
      <c r="AK28" s="60">
        <v>12.282</v>
      </c>
      <c r="AL28" s="60">
        <f t="shared" si="14"/>
        <v>11.280749999999999</v>
      </c>
      <c r="AM28" s="60">
        <f t="shared" si="40"/>
        <v>76.604753062499995</v>
      </c>
      <c r="AN28" s="60"/>
      <c r="AO28" s="60"/>
      <c r="AP28" s="60"/>
      <c r="AQ28" s="60">
        <f t="shared" si="16"/>
        <v>0</v>
      </c>
      <c r="AR28" s="60">
        <f t="shared" si="17"/>
        <v>76.604753062499995</v>
      </c>
      <c r="AS28" s="60" t="s">
        <v>173</v>
      </c>
      <c r="AT28" s="60">
        <v>158.47999999999999</v>
      </c>
      <c r="AU28" s="60">
        <v>0.6</v>
      </c>
      <c r="AV28" s="60">
        <f t="shared" si="42"/>
        <v>2.4671270987999994</v>
      </c>
      <c r="AW28" s="60">
        <v>33000</v>
      </c>
      <c r="AX28" s="60">
        <v>23</v>
      </c>
      <c r="AY28" s="60" t="s">
        <v>185</v>
      </c>
      <c r="AZ28" s="60">
        <v>3231</v>
      </c>
      <c r="BA28" s="80">
        <v>4</v>
      </c>
      <c r="BB28" s="60">
        <f t="shared" si="41"/>
        <v>9.0076363636363634</v>
      </c>
      <c r="BC28" s="60">
        <v>37.44</v>
      </c>
      <c r="BD28" s="60">
        <v>34.82</v>
      </c>
      <c r="BE28" s="60">
        <v>17.96</v>
      </c>
      <c r="BF28" s="60">
        <v>6.5</v>
      </c>
      <c r="BG28" s="60"/>
      <c r="BH28" s="80">
        <f t="shared" si="19"/>
        <v>472.14484228635769</v>
      </c>
      <c r="BI28" s="60">
        <f t="shared" si="20"/>
        <v>40.329168527918789</v>
      </c>
      <c r="BJ28" s="80">
        <f t="shared" si="21"/>
        <v>529.95670537112926</v>
      </c>
      <c r="BK28" s="102"/>
      <c r="BL28" s="43"/>
      <c r="BM28" s="43"/>
      <c r="BN28" s="33"/>
      <c r="BR28" s="127"/>
    </row>
    <row r="29" spans="1:70" ht="63" x14ac:dyDescent="0.25">
      <c r="A29" s="37" t="s">
        <v>102</v>
      </c>
      <c r="B29" s="156" t="s">
        <v>19</v>
      </c>
      <c r="C29" s="156" t="s">
        <v>22</v>
      </c>
      <c r="D29" s="156" t="s">
        <v>311</v>
      </c>
      <c r="E29" s="156">
        <v>4</v>
      </c>
      <c r="F29" s="156">
        <v>63.25</v>
      </c>
      <c r="G29" s="156"/>
      <c r="H29" s="101">
        <f t="shared" si="0"/>
        <v>0</v>
      </c>
      <c r="I29" s="156"/>
      <c r="J29" s="156">
        <f t="shared" si="1"/>
        <v>0</v>
      </c>
      <c r="K29" s="156"/>
      <c r="L29" s="156">
        <f t="shared" si="2"/>
        <v>0</v>
      </c>
      <c r="M29" s="156"/>
      <c r="N29" s="156">
        <v>25</v>
      </c>
      <c r="O29" s="156">
        <f t="shared" si="3"/>
        <v>15.8125</v>
      </c>
      <c r="P29" s="156"/>
      <c r="Q29" s="156"/>
      <c r="R29" s="156">
        <v>40</v>
      </c>
      <c r="S29" s="156">
        <f t="shared" si="4"/>
        <v>31.625</v>
      </c>
      <c r="T29" s="156">
        <v>30</v>
      </c>
      <c r="U29" s="156">
        <f t="shared" si="5"/>
        <v>33.206249999999997</v>
      </c>
      <c r="V29" s="156">
        <v>30</v>
      </c>
      <c r="W29" s="156">
        <f t="shared" si="6"/>
        <v>33.206249999999997</v>
      </c>
      <c r="X29" s="60">
        <f t="shared" si="7"/>
        <v>177.10000000000002</v>
      </c>
      <c r="Y29" s="60">
        <f t="shared" si="8"/>
        <v>1.5228426395939085</v>
      </c>
      <c r="Z29" s="60">
        <f t="shared" si="9"/>
        <v>10.626000000000001</v>
      </c>
      <c r="AA29" s="60">
        <f t="shared" si="10"/>
        <v>12.397000000000002</v>
      </c>
      <c r="AB29" s="60">
        <f t="shared" si="11"/>
        <v>201.64584263959392</v>
      </c>
      <c r="AC29" s="60">
        <f t="shared" si="34"/>
        <v>60.897044477157365</v>
      </c>
      <c r="AD29" s="60">
        <f t="shared" si="12"/>
        <v>24.802438644670051</v>
      </c>
      <c r="AE29" s="60">
        <f t="shared" si="13"/>
        <v>17.482694556852792</v>
      </c>
      <c r="AF29" s="60" t="s">
        <v>84</v>
      </c>
      <c r="AG29" s="159">
        <v>29.524999999999999</v>
      </c>
      <c r="AH29" s="60">
        <v>8.9</v>
      </c>
      <c r="AI29" s="60">
        <v>10.68</v>
      </c>
      <c r="AJ29" s="60">
        <v>11.481000000000002</v>
      </c>
      <c r="AK29" s="60">
        <v>12.282</v>
      </c>
      <c r="AL29" s="60">
        <f t="shared" si="14"/>
        <v>11.280749999999999</v>
      </c>
      <c r="AM29" s="60">
        <f t="shared" si="40"/>
        <v>76.604753062499995</v>
      </c>
      <c r="AN29" s="60"/>
      <c r="AO29" s="60"/>
      <c r="AP29" s="60"/>
      <c r="AQ29" s="60">
        <f t="shared" si="16"/>
        <v>0</v>
      </c>
      <c r="AR29" s="60">
        <f t="shared" si="17"/>
        <v>76.604753062499995</v>
      </c>
      <c r="AS29" s="60" t="s">
        <v>173</v>
      </c>
      <c r="AT29" s="60">
        <v>158.47999999999999</v>
      </c>
      <c r="AU29" s="60">
        <v>0.6</v>
      </c>
      <c r="AV29" s="60">
        <f t="shared" si="42"/>
        <v>2.4671270987999994</v>
      </c>
      <c r="AW29" s="60">
        <v>33000</v>
      </c>
      <c r="AX29" s="60">
        <v>23</v>
      </c>
      <c r="AY29" s="60" t="s">
        <v>185</v>
      </c>
      <c r="AZ29" s="60">
        <v>3231</v>
      </c>
      <c r="BA29" s="80">
        <v>4</v>
      </c>
      <c r="BB29" s="60">
        <f t="shared" si="41"/>
        <v>9.0076363636363634</v>
      </c>
      <c r="BC29" s="60">
        <v>37.44</v>
      </c>
      <c r="BD29" s="60">
        <v>34.82</v>
      </c>
      <c r="BE29" s="60">
        <v>17.96</v>
      </c>
      <c r="BF29" s="60">
        <v>6.5</v>
      </c>
      <c r="BG29" s="60"/>
      <c r="BH29" s="80">
        <f t="shared" si="19"/>
        <v>472.14484228635769</v>
      </c>
      <c r="BI29" s="60">
        <f t="shared" si="20"/>
        <v>40.329168527918789</v>
      </c>
      <c r="BJ29" s="80">
        <f t="shared" si="21"/>
        <v>529.95670537112926</v>
      </c>
      <c r="BK29" s="102"/>
      <c r="BL29" s="43"/>
      <c r="BM29" s="43"/>
      <c r="BN29" s="33"/>
      <c r="BR29" s="127"/>
    </row>
    <row r="30" spans="1:70" ht="47.25" x14ac:dyDescent="0.25">
      <c r="A30" s="37" t="s">
        <v>103</v>
      </c>
      <c r="B30" s="156" t="s">
        <v>448</v>
      </c>
      <c r="C30" s="156" t="s">
        <v>23</v>
      </c>
      <c r="D30" s="156" t="s">
        <v>311</v>
      </c>
      <c r="E30" s="156">
        <v>4</v>
      </c>
      <c r="F30" s="156">
        <v>71.16</v>
      </c>
      <c r="G30" s="156">
        <v>4</v>
      </c>
      <c r="H30" s="101">
        <f t="shared" si="0"/>
        <v>2.8464</v>
      </c>
      <c r="I30" s="156"/>
      <c r="J30" s="156">
        <f t="shared" si="1"/>
        <v>0</v>
      </c>
      <c r="K30" s="156"/>
      <c r="L30" s="156">
        <f t="shared" si="2"/>
        <v>0</v>
      </c>
      <c r="M30" s="156"/>
      <c r="N30" s="156">
        <v>25</v>
      </c>
      <c r="O30" s="156">
        <f t="shared" si="3"/>
        <v>17.79</v>
      </c>
      <c r="P30" s="156"/>
      <c r="Q30" s="156"/>
      <c r="R30" s="156">
        <v>40</v>
      </c>
      <c r="S30" s="156">
        <f t="shared" si="4"/>
        <v>36.718560000000004</v>
      </c>
      <c r="T30" s="156">
        <v>30</v>
      </c>
      <c r="U30" s="156">
        <f t="shared" si="5"/>
        <v>38.554487999999999</v>
      </c>
      <c r="V30" s="156">
        <v>30</v>
      </c>
      <c r="W30" s="156">
        <f t="shared" si="6"/>
        <v>38.554487999999999</v>
      </c>
      <c r="X30" s="60">
        <f t="shared" si="7"/>
        <v>205.62393599999999</v>
      </c>
      <c r="Y30" s="60">
        <f t="shared" si="8"/>
        <v>1.5228426395939085</v>
      </c>
      <c r="Z30" s="60">
        <f t="shared" si="9"/>
        <v>12.337436159999999</v>
      </c>
      <c r="AA30" s="60">
        <f t="shared" si="10"/>
        <v>14.39367552</v>
      </c>
      <c r="AB30" s="60">
        <f t="shared" si="11"/>
        <v>233.87789031959389</v>
      </c>
      <c r="AC30" s="60">
        <f t="shared" si="34"/>
        <v>70.631122876517352</v>
      </c>
      <c r="AD30" s="60">
        <f t="shared" si="12"/>
        <v>28.766980509310049</v>
      </c>
      <c r="AE30" s="60">
        <f t="shared" si="13"/>
        <v>20.277213090708791</v>
      </c>
      <c r="AF30" s="60" t="s">
        <v>85</v>
      </c>
      <c r="AG30" s="160">
        <v>29.83</v>
      </c>
      <c r="AH30" s="60">
        <v>27</v>
      </c>
      <c r="AI30" s="60">
        <v>35.1</v>
      </c>
      <c r="AJ30" s="60">
        <v>37.530000000000008</v>
      </c>
      <c r="AK30" s="60">
        <v>39.96</v>
      </c>
      <c r="AL30" s="60">
        <f t="shared" si="14"/>
        <v>36.922500000000007</v>
      </c>
      <c r="AM30" s="60">
        <f t="shared" si="40"/>
        <v>253.32158025000001</v>
      </c>
      <c r="AN30" s="60" t="s">
        <v>170</v>
      </c>
      <c r="AO30" s="60">
        <v>6.3</v>
      </c>
      <c r="AP30" s="60">
        <v>0.1</v>
      </c>
      <c r="AQ30" s="60">
        <f t="shared" si="16"/>
        <v>18.792899999999999</v>
      </c>
      <c r="AR30" s="60">
        <f t="shared" si="17"/>
        <v>272.11448024999999</v>
      </c>
      <c r="AS30" s="60" t="s">
        <v>174</v>
      </c>
      <c r="AT30" s="60">
        <v>49.93</v>
      </c>
      <c r="AU30" s="60">
        <v>2.52</v>
      </c>
      <c r="AV30" s="60">
        <f t="shared" si="42"/>
        <v>10.685160303300002</v>
      </c>
      <c r="AW30" s="60">
        <v>50000</v>
      </c>
      <c r="AX30" s="60">
        <v>23</v>
      </c>
      <c r="AY30" s="60" t="s">
        <v>186</v>
      </c>
      <c r="AZ30" s="60">
        <v>4422.03</v>
      </c>
      <c r="BA30" s="80">
        <v>6</v>
      </c>
      <c r="BB30" s="60">
        <f t="shared" si="41"/>
        <v>12.2048028</v>
      </c>
      <c r="BC30" s="60">
        <v>37.44</v>
      </c>
      <c r="BD30" s="60">
        <v>34.82</v>
      </c>
      <c r="BE30" s="60"/>
      <c r="BF30" s="60">
        <v>6.5</v>
      </c>
      <c r="BG30" s="60"/>
      <c r="BH30" s="80">
        <f t="shared" si="19"/>
        <v>707.0404370587213</v>
      </c>
      <c r="BI30" s="60">
        <f t="shared" si="20"/>
        <v>46.775578063918779</v>
      </c>
      <c r="BJ30" s="80">
        <f t="shared" si="21"/>
        <v>774.09322821334888</v>
      </c>
      <c r="BK30" s="102">
        <f t="shared" si="22"/>
        <v>678.27345654941121</v>
      </c>
      <c r="BL30" s="43"/>
      <c r="BM30" s="43"/>
      <c r="BN30" s="33"/>
      <c r="BR30" s="127"/>
    </row>
    <row r="31" spans="1:70" ht="63" x14ac:dyDescent="0.25">
      <c r="A31" s="37" t="s">
        <v>104</v>
      </c>
      <c r="B31" s="156" t="s">
        <v>465</v>
      </c>
      <c r="C31" s="156" t="s">
        <v>24</v>
      </c>
      <c r="D31" s="156" t="s">
        <v>311</v>
      </c>
      <c r="E31" s="156">
        <v>4</v>
      </c>
      <c r="F31" s="156">
        <v>71.16</v>
      </c>
      <c r="G31" s="156">
        <v>6</v>
      </c>
      <c r="H31" s="101">
        <f t="shared" si="0"/>
        <v>4.2695999999999996</v>
      </c>
      <c r="I31" s="156"/>
      <c r="J31" s="156">
        <f t="shared" si="1"/>
        <v>0</v>
      </c>
      <c r="K31" s="156">
        <v>0</v>
      </c>
      <c r="L31" s="156">
        <f t="shared" si="2"/>
        <v>0</v>
      </c>
      <c r="M31" s="156">
        <v>0</v>
      </c>
      <c r="N31" s="156">
        <v>25</v>
      </c>
      <c r="O31" s="156">
        <f t="shared" si="3"/>
        <v>17.79</v>
      </c>
      <c r="P31" s="156"/>
      <c r="Q31" s="156"/>
      <c r="R31" s="156">
        <v>40</v>
      </c>
      <c r="S31" s="156">
        <f t="shared" si="4"/>
        <v>37.287839999999996</v>
      </c>
      <c r="T31" s="156">
        <v>30</v>
      </c>
      <c r="U31" s="156">
        <f t="shared" si="5"/>
        <v>39.152231999999998</v>
      </c>
      <c r="V31" s="156">
        <v>30</v>
      </c>
      <c r="W31" s="156">
        <f t="shared" si="6"/>
        <v>39.152231999999998</v>
      </c>
      <c r="X31" s="60">
        <f t="shared" si="7"/>
        <v>208.81190399999997</v>
      </c>
      <c r="Y31" s="60">
        <f t="shared" si="8"/>
        <v>1.5228426395939085</v>
      </c>
      <c r="Z31" s="60">
        <f t="shared" si="9"/>
        <v>12.528714239999998</v>
      </c>
      <c r="AA31" s="60">
        <f t="shared" si="10"/>
        <v>14.61683328</v>
      </c>
      <c r="AB31" s="60">
        <f t="shared" si="11"/>
        <v>237.48029415959388</v>
      </c>
      <c r="AC31" s="60">
        <f t="shared" si="34"/>
        <v>71.719048836197345</v>
      </c>
      <c r="AD31" s="60">
        <f t="shared" si="12"/>
        <v>29.210076181630047</v>
      </c>
      <c r="AE31" s="60">
        <f t="shared" si="13"/>
        <v>20.589541503636791</v>
      </c>
      <c r="AF31" s="60" t="s">
        <v>83</v>
      </c>
      <c r="AG31" s="159">
        <v>30.677966000000001</v>
      </c>
      <c r="AH31" s="60">
        <v>14.5</v>
      </c>
      <c r="AI31" s="60">
        <v>17.399999999999999</v>
      </c>
      <c r="AJ31" s="60">
        <v>18.705000000000002</v>
      </c>
      <c r="AK31" s="60">
        <v>20.010000000000002</v>
      </c>
      <c r="AL31" s="60">
        <f t="shared" si="14"/>
        <v>18.37875</v>
      </c>
      <c r="AM31" s="60">
        <f t="shared" si="40"/>
        <v>129.679213553175</v>
      </c>
      <c r="AN31" s="60" t="s">
        <v>170</v>
      </c>
      <c r="AO31" s="60">
        <v>6.3</v>
      </c>
      <c r="AP31" s="60">
        <v>0.1</v>
      </c>
      <c r="AQ31" s="60">
        <f t="shared" si="16"/>
        <v>19.327118580000004</v>
      </c>
      <c r="AR31" s="60">
        <f t="shared" si="17"/>
        <v>149.00633213317502</v>
      </c>
      <c r="AS31" s="60" t="s">
        <v>175</v>
      </c>
      <c r="AT31" s="60">
        <v>160.16999999999999</v>
      </c>
      <c r="AU31" s="60">
        <v>2.1</v>
      </c>
      <c r="AV31" s="60">
        <f t="shared" si="42"/>
        <v>14.218188791625</v>
      </c>
      <c r="AW31" s="60">
        <v>50000</v>
      </c>
      <c r="AX31" s="60">
        <v>23</v>
      </c>
      <c r="AY31" s="60" t="s">
        <v>186</v>
      </c>
      <c r="AZ31" s="60">
        <v>4422.03</v>
      </c>
      <c r="BA31" s="80">
        <v>6</v>
      </c>
      <c r="BB31" s="60">
        <f t="shared" si="41"/>
        <v>12.2048028</v>
      </c>
      <c r="BC31" s="60">
        <v>37.44</v>
      </c>
      <c r="BD31" s="60">
        <v>34.82</v>
      </c>
      <c r="BE31" s="60">
        <v>57.99</v>
      </c>
      <c r="BF31" s="60">
        <v>6.5</v>
      </c>
      <c r="BG31" s="60"/>
      <c r="BH31" s="80">
        <f t="shared" si="19"/>
        <v>650.58874290222127</v>
      </c>
      <c r="BI31" s="60">
        <f t="shared" si="20"/>
        <v>47.496058831918781</v>
      </c>
      <c r="BJ31" s="80">
        <f t="shared" si="21"/>
        <v>718.67434323777684</v>
      </c>
      <c r="BK31" s="102">
        <f t="shared" si="22"/>
        <v>621.37866672059124</v>
      </c>
      <c r="BL31" s="43"/>
      <c r="BM31" s="43"/>
      <c r="BN31" s="33"/>
      <c r="BR31" s="127"/>
    </row>
    <row r="32" spans="1:70" ht="63" x14ac:dyDescent="0.25">
      <c r="A32" s="151">
        <v>18</v>
      </c>
      <c r="B32" s="156" t="s">
        <v>465</v>
      </c>
      <c r="C32" s="156" t="s">
        <v>25</v>
      </c>
      <c r="D32" s="156" t="s">
        <v>312</v>
      </c>
      <c r="E32" s="156">
        <v>4</v>
      </c>
      <c r="F32" s="156">
        <v>71.16</v>
      </c>
      <c r="G32" s="156">
        <v>4</v>
      </c>
      <c r="H32" s="101">
        <f t="shared" si="0"/>
        <v>2.8464</v>
      </c>
      <c r="I32" s="156"/>
      <c r="J32" s="156">
        <f t="shared" si="1"/>
        <v>0</v>
      </c>
      <c r="K32" s="156">
        <v>0</v>
      </c>
      <c r="L32" s="156">
        <f t="shared" si="2"/>
        <v>0</v>
      </c>
      <c r="M32" s="156">
        <v>0</v>
      </c>
      <c r="N32" s="156">
        <v>25</v>
      </c>
      <c r="O32" s="156">
        <f t="shared" si="3"/>
        <v>17.79</v>
      </c>
      <c r="P32" s="156"/>
      <c r="Q32" s="156"/>
      <c r="R32" s="156">
        <v>40</v>
      </c>
      <c r="S32" s="156">
        <f t="shared" si="4"/>
        <v>36.718560000000004</v>
      </c>
      <c r="T32" s="156">
        <v>30</v>
      </c>
      <c r="U32" s="156">
        <f t="shared" si="5"/>
        <v>38.554487999999999</v>
      </c>
      <c r="V32" s="156">
        <v>30</v>
      </c>
      <c r="W32" s="156">
        <f t="shared" si="6"/>
        <v>38.554487999999999</v>
      </c>
      <c r="X32" s="60">
        <f t="shared" si="7"/>
        <v>205.62393599999999</v>
      </c>
      <c r="Y32" s="60">
        <f t="shared" si="8"/>
        <v>1.5228426395939085</v>
      </c>
      <c r="Z32" s="60">
        <f t="shared" si="9"/>
        <v>12.337436159999999</v>
      </c>
      <c r="AA32" s="60">
        <f t="shared" si="10"/>
        <v>14.39367552</v>
      </c>
      <c r="AB32" s="60">
        <f t="shared" si="11"/>
        <v>233.87789031959389</v>
      </c>
      <c r="AC32" s="60">
        <f t="shared" si="34"/>
        <v>70.631122876517352</v>
      </c>
      <c r="AD32" s="60">
        <f t="shared" si="12"/>
        <v>28.766980509310049</v>
      </c>
      <c r="AE32" s="60">
        <f t="shared" si="13"/>
        <v>20.277213090708791</v>
      </c>
      <c r="AF32" s="60" t="s">
        <v>88</v>
      </c>
      <c r="AG32" s="159">
        <v>30.677966000000001</v>
      </c>
      <c r="AH32" s="60">
        <v>14.5</v>
      </c>
      <c r="AI32" s="60">
        <v>17.399999999999999</v>
      </c>
      <c r="AJ32" s="60">
        <v>18.705000000000002</v>
      </c>
      <c r="AK32" s="60">
        <v>20.010000000000002</v>
      </c>
      <c r="AL32" s="60">
        <f t="shared" si="14"/>
        <v>18.37875</v>
      </c>
      <c r="AM32" s="60">
        <f t="shared" si="40"/>
        <v>129.679213553175</v>
      </c>
      <c r="AN32" s="60" t="s">
        <v>170</v>
      </c>
      <c r="AO32" s="60">
        <v>6.3</v>
      </c>
      <c r="AP32" s="60">
        <v>0.1</v>
      </c>
      <c r="AQ32" s="60">
        <f t="shared" si="16"/>
        <v>19.327118580000004</v>
      </c>
      <c r="AR32" s="60">
        <f t="shared" si="17"/>
        <v>149.00633213317502</v>
      </c>
      <c r="AS32" s="60" t="s">
        <v>175</v>
      </c>
      <c r="AT32" s="60">
        <v>160.16999999999999</v>
      </c>
      <c r="AU32" s="60">
        <v>2.1</v>
      </c>
      <c r="AV32" s="60">
        <f t="shared" si="42"/>
        <v>14.218188791625</v>
      </c>
      <c r="AW32" s="60">
        <v>50000</v>
      </c>
      <c r="AX32" s="60">
        <v>23</v>
      </c>
      <c r="AY32" s="60" t="s">
        <v>186</v>
      </c>
      <c r="AZ32" s="60">
        <v>4422.03</v>
      </c>
      <c r="BA32" s="80">
        <v>6</v>
      </c>
      <c r="BB32" s="60">
        <f t="shared" si="41"/>
        <v>12.2048028</v>
      </c>
      <c r="BC32" s="60">
        <v>37.44</v>
      </c>
      <c r="BD32" s="60">
        <v>34.82</v>
      </c>
      <c r="BE32" s="60">
        <v>57.99</v>
      </c>
      <c r="BF32" s="60">
        <v>6.5</v>
      </c>
      <c r="BG32" s="60"/>
      <c r="BH32" s="80">
        <f t="shared" si="19"/>
        <v>645.45531743022127</v>
      </c>
      <c r="BI32" s="60">
        <f t="shared" si="20"/>
        <v>46.775578063918779</v>
      </c>
      <c r="BJ32" s="80">
        <f t="shared" si="21"/>
        <v>712.50810858484886</v>
      </c>
      <c r="BK32" s="102">
        <f t="shared" si="22"/>
        <v>616.68833692091118</v>
      </c>
      <c r="BL32" s="43"/>
      <c r="BM32" s="43"/>
      <c r="BN32" s="33"/>
      <c r="BR32" s="127"/>
    </row>
    <row r="33" spans="1:70" ht="47.25" x14ac:dyDescent="0.25">
      <c r="A33" s="58" t="s">
        <v>106</v>
      </c>
      <c r="B33" s="156" t="s">
        <v>26</v>
      </c>
      <c r="C33" s="156" t="s">
        <v>27</v>
      </c>
      <c r="D33" s="156" t="s">
        <v>311</v>
      </c>
      <c r="E33" s="156">
        <v>4</v>
      </c>
      <c r="F33" s="156">
        <v>71.16</v>
      </c>
      <c r="G33" s="156">
        <v>6</v>
      </c>
      <c r="H33" s="101">
        <f t="shared" si="0"/>
        <v>4.2695999999999996</v>
      </c>
      <c r="I33" s="156"/>
      <c r="J33" s="156">
        <f t="shared" si="1"/>
        <v>0</v>
      </c>
      <c r="K33" s="156"/>
      <c r="L33" s="156">
        <f t="shared" si="2"/>
        <v>0</v>
      </c>
      <c r="M33" s="156"/>
      <c r="N33" s="156">
        <v>25</v>
      </c>
      <c r="O33" s="156">
        <f t="shared" si="3"/>
        <v>17.79</v>
      </c>
      <c r="P33" s="156"/>
      <c r="Q33" s="156"/>
      <c r="R33" s="156">
        <v>40</v>
      </c>
      <c r="S33" s="156">
        <f t="shared" si="4"/>
        <v>37.287839999999996</v>
      </c>
      <c r="T33" s="156">
        <v>30</v>
      </c>
      <c r="U33" s="156">
        <f t="shared" si="5"/>
        <v>39.152231999999998</v>
      </c>
      <c r="V33" s="156">
        <v>30</v>
      </c>
      <c r="W33" s="156">
        <f t="shared" si="6"/>
        <v>39.152231999999998</v>
      </c>
      <c r="X33" s="60">
        <f t="shared" si="7"/>
        <v>208.81190399999997</v>
      </c>
      <c r="Y33" s="60">
        <f t="shared" si="8"/>
        <v>1.5228426395939085</v>
      </c>
      <c r="Z33" s="60">
        <f t="shared" si="9"/>
        <v>12.528714239999998</v>
      </c>
      <c r="AA33" s="60">
        <f t="shared" si="10"/>
        <v>14.61683328</v>
      </c>
      <c r="AB33" s="60">
        <f t="shared" si="11"/>
        <v>237.48029415959388</v>
      </c>
      <c r="AC33" s="60">
        <f t="shared" si="34"/>
        <v>71.719048836197345</v>
      </c>
      <c r="AD33" s="60">
        <f t="shared" si="12"/>
        <v>29.210076181630047</v>
      </c>
      <c r="AE33" s="60">
        <f t="shared" si="13"/>
        <v>20.589541503636791</v>
      </c>
      <c r="AF33" s="60" t="s">
        <v>85</v>
      </c>
      <c r="AG33" s="160">
        <v>29.83</v>
      </c>
      <c r="AH33" s="60">
        <v>25.5</v>
      </c>
      <c r="AI33" s="60">
        <v>33.15</v>
      </c>
      <c r="AJ33" s="60">
        <v>35.445</v>
      </c>
      <c r="AK33" s="60">
        <v>37.739999999999995</v>
      </c>
      <c r="AL33" s="60">
        <f t="shared" si="14"/>
        <v>34.871249999999996</v>
      </c>
      <c r="AM33" s="60">
        <f t="shared" si="40"/>
        <v>239.24815912499997</v>
      </c>
      <c r="AN33" s="60" t="s">
        <v>170</v>
      </c>
      <c r="AO33" s="60">
        <v>6.3</v>
      </c>
      <c r="AP33" s="60">
        <v>0.1</v>
      </c>
      <c r="AQ33" s="60">
        <f t="shared" si="16"/>
        <v>18.792899999999999</v>
      </c>
      <c r="AR33" s="60">
        <f t="shared" si="17"/>
        <v>258.04105912499995</v>
      </c>
      <c r="AS33" s="60" t="s">
        <v>174</v>
      </c>
      <c r="AT33" s="60">
        <v>49.93</v>
      </c>
      <c r="AU33" s="60">
        <v>2.52</v>
      </c>
      <c r="AV33" s="60">
        <f t="shared" si="42"/>
        <v>10.09154028645</v>
      </c>
      <c r="AW33" s="60">
        <v>50000</v>
      </c>
      <c r="AX33" s="60">
        <v>23</v>
      </c>
      <c r="AY33" s="60" t="s">
        <v>186</v>
      </c>
      <c r="AZ33" s="60">
        <v>4422.03</v>
      </c>
      <c r="BA33" s="80">
        <v>6</v>
      </c>
      <c r="BB33" s="60">
        <f t="shared" si="41"/>
        <v>12.2048028</v>
      </c>
      <c r="BC33" s="60">
        <v>37.44</v>
      </c>
      <c r="BD33" s="60">
        <v>34.82</v>
      </c>
      <c r="BE33" s="60"/>
      <c r="BF33" s="60">
        <v>6.5</v>
      </c>
      <c r="BG33" s="60"/>
      <c r="BH33" s="80">
        <f t="shared" si="19"/>
        <v>697.50682138887134</v>
      </c>
      <c r="BI33" s="60">
        <f t="shared" si="20"/>
        <v>47.496058831918781</v>
      </c>
      <c r="BJ33" s="80">
        <f t="shared" si="21"/>
        <v>765.59242172442691</v>
      </c>
      <c r="BK33" s="102">
        <f t="shared" si="22"/>
        <v>668.29674520724132</v>
      </c>
      <c r="BL33" s="43"/>
      <c r="BM33" s="43"/>
      <c r="BN33" s="33"/>
      <c r="BR33" s="127"/>
    </row>
    <row r="34" spans="1:70" ht="63" x14ac:dyDescent="0.25">
      <c r="A34" s="37" t="s">
        <v>107</v>
      </c>
      <c r="B34" s="156" t="s">
        <v>243</v>
      </c>
      <c r="C34" s="156" t="s">
        <v>28</v>
      </c>
      <c r="D34" s="156" t="s">
        <v>311</v>
      </c>
      <c r="E34" s="156">
        <v>4</v>
      </c>
      <c r="F34" s="156">
        <v>71.16</v>
      </c>
      <c r="G34" s="156">
        <v>6</v>
      </c>
      <c r="H34" s="101">
        <f t="shared" si="0"/>
        <v>4.2695999999999996</v>
      </c>
      <c r="I34" s="156"/>
      <c r="J34" s="156">
        <f t="shared" si="1"/>
        <v>0</v>
      </c>
      <c r="K34" s="156"/>
      <c r="L34" s="156">
        <f t="shared" si="2"/>
        <v>0</v>
      </c>
      <c r="M34" s="156"/>
      <c r="N34" s="156">
        <v>25</v>
      </c>
      <c r="O34" s="156">
        <f t="shared" si="3"/>
        <v>17.79</v>
      </c>
      <c r="P34" s="156"/>
      <c r="Q34" s="156"/>
      <c r="R34" s="156">
        <v>40</v>
      </c>
      <c r="S34" s="156">
        <f t="shared" si="4"/>
        <v>37.287839999999996</v>
      </c>
      <c r="T34" s="156">
        <v>30</v>
      </c>
      <c r="U34" s="156">
        <f t="shared" si="5"/>
        <v>39.152231999999998</v>
      </c>
      <c r="V34" s="156">
        <v>30</v>
      </c>
      <c r="W34" s="156">
        <f t="shared" si="6"/>
        <v>39.152231999999998</v>
      </c>
      <c r="X34" s="60">
        <f t="shared" si="7"/>
        <v>208.81190399999997</v>
      </c>
      <c r="Y34" s="60">
        <f t="shared" si="8"/>
        <v>1.5228426395939085</v>
      </c>
      <c r="Z34" s="60">
        <f t="shared" si="9"/>
        <v>12.528714239999998</v>
      </c>
      <c r="AA34" s="60">
        <f t="shared" si="10"/>
        <v>14.61683328</v>
      </c>
      <c r="AB34" s="60">
        <f t="shared" si="11"/>
        <v>237.48029415959388</v>
      </c>
      <c r="AC34" s="60">
        <f t="shared" si="34"/>
        <v>71.719048836197345</v>
      </c>
      <c r="AD34" s="60">
        <f t="shared" si="12"/>
        <v>29.210076181630047</v>
      </c>
      <c r="AE34" s="60">
        <f t="shared" si="13"/>
        <v>20.589541503636791</v>
      </c>
      <c r="AF34" s="60" t="s">
        <v>85</v>
      </c>
      <c r="AG34" s="160">
        <v>29.83</v>
      </c>
      <c r="AH34" s="60">
        <v>27</v>
      </c>
      <c r="AI34" s="60">
        <v>35.1</v>
      </c>
      <c r="AJ34" s="60">
        <v>37.530000000000008</v>
      </c>
      <c r="AK34" s="60">
        <v>39.96</v>
      </c>
      <c r="AL34" s="60">
        <f t="shared" si="14"/>
        <v>36.922500000000007</v>
      </c>
      <c r="AM34" s="60">
        <f t="shared" si="40"/>
        <v>253.32158025000001</v>
      </c>
      <c r="AN34" s="60" t="s">
        <v>170</v>
      </c>
      <c r="AO34" s="60">
        <v>6.3</v>
      </c>
      <c r="AP34" s="60">
        <v>0.1</v>
      </c>
      <c r="AQ34" s="60">
        <f t="shared" si="16"/>
        <v>18.792899999999999</v>
      </c>
      <c r="AR34" s="60">
        <f t="shared" si="17"/>
        <v>272.11448024999999</v>
      </c>
      <c r="AS34" s="60" t="s">
        <v>174</v>
      </c>
      <c r="AT34" s="60">
        <v>49.93</v>
      </c>
      <c r="AU34" s="60">
        <v>2.52</v>
      </c>
      <c r="AV34" s="60">
        <f t="shared" si="42"/>
        <v>10.685160303300002</v>
      </c>
      <c r="AW34" s="60">
        <v>50000</v>
      </c>
      <c r="AX34" s="60">
        <v>23</v>
      </c>
      <c r="AY34" s="60" t="s">
        <v>186</v>
      </c>
      <c r="AZ34" s="60">
        <v>4422.03</v>
      </c>
      <c r="BA34" s="80">
        <v>6</v>
      </c>
      <c r="BB34" s="60">
        <f t="shared" si="41"/>
        <v>12.2048028</v>
      </c>
      <c r="BC34" s="60">
        <v>37.44</v>
      </c>
      <c r="BD34" s="60">
        <v>34.82</v>
      </c>
      <c r="BE34" s="60"/>
      <c r="BF34" s="60">
        <v>6.5</v>
      </c>
      <c r="BG34" s="60"/>
      <c r="BH34" s="80">
        <f t="shared" si="19"/>
        <v>712.17386253072129</v>
      </c>
      <c r="BI34" s="60">
        <f t="shared" si="20"/>
        <v>47.496058831918781</v>
      </c>
      <c r="BJ34" s="80">
        <f t="shared" si="21"/>
        <v>780.25946286627686</v>
      </c>
      <c r="BK34" s="102">
        <f t="shared" si="22"/>
        <v>682.96378634909127</v>
      </c>
      <c r="BL34" s="43"/>
      <c r="BM34" s="43"/>
      <c r="BN34" s="33"/>
      <c r="BR34" s="127"/>
    </row>
    <row r="35" spans="1:70" ht="63" x14ac:dyDescent="0.25">
      <c r="A35" s="58" t="s">
        <v>108</v>
      </c>
      <c r="B35" s="156" t="s">
        <v>244</v>
      </c>
      <c r="C35" s="156" t="s">
        <v>29</v>
      </c>
      <c r="D35" s="156" t="s">
        <v>311</v>
      </c>
      <c r="E35" s="156">
        <v>4</v>
      </c>
      <c r="F35" s="156">
        <v>71.16</v>
      </c>
      <c r="G35" s="156">
        <v>6</v>
      </c>
      <c r="H35" s="101">
        <f t="shared" si="0"/>
        <v>4.2695999999999996</v>
      </c>
      <c r="I35" s="156"/>
      <c r="J35" s="156">
        <f t="shared" si="1"/>
        <v>0</v>
      </c>
      <c r="K35" s="156"/>
      <c r="L35" s="156">
        <f t="shared" si="2"/>
        <v>0</v>
      </c>
      <c r="M35" s="156"/>
      <c r="N35" s="156">
        <v>25</v>
      </c>
      <c r="O35" s="156">
        <f t="shared" si="3"/>
        <v>17.79</v>
      </c>
      <c r="P35" s="156"/>
      <c r="Q35" s="156"/>
      <c r="R35" s="156">
        <v>40</v>
      </c>
      <c r="S35" s="156">
        <f t="shared" si="4"/>
        <v>37.287839999999996</v>
      </c>
      <c r="T35" s="156">
        <v>30</v>
      </c>
      <c r="U35" s="156">
        <f t="shared" si="5"/>
        <v>39.152231999999998</v>
      </c>
      <c r="V35" s="156">
        <v>30</v>
      </c>
      <c r="W35" s="156">
        <f t="shared" si="6"/>
        <v>39.152231999999998</v>
      </c>
      <c r="X35" s="60">
        <f t="shared" si="7"/>
        <v>208.81190399999997</v>
      </c>
      <c r="Y35" s="60">
        <f t="shared" si="8"/>
        <v>1.5228426395939085</v>
      </c>
      <c r="Z35" s="60">
        <f t="shared" si="9"/>
        <v>12.528714239999998</v>
      </c>
      <c r="AA35" s="60">
        <f t="shared" si="10"/>
        <v>14.61683328</v>
      </c>
      <c r="AB35" s="60">
        <f t="shared" si="11"/>
        <v>237.48029415959388</v>
      </c>
      <c r="AC35" s="60">
        <f t="shared" si="34"/>
        <v>71.719048836197345</v>
      </c>
      <c r="AD35" s="60">
        <f t="shared" si="12"/>
        <v>29.210076181630047</v>
      </c>
      <c r="AE35" s="60">
        <f t="shared" si="13"/>
        <v>20.589541503636791</v>
      </c>
      <c r="AF35" s="60" t="s">
        <v>85</v>
      </c>
      <c r="AG35" s="160">
        <v>29.83</v>
      </c>
      <c r="AH35" s="60">
        <v>27</v>
      </c>
      <c r="AI35" s="60">
        <v>35.1</v>
      </c>
      <c r="AJ35" s="60">
        <v>37.530000000000008</v>
      </c>
      <c r="AK35" s="60">
        <v>39.96</v>
      </c>
      <c r="AL35" s="60">
        <f t="shared" si="14"/>
        <v>36.922500000000007</v>
      </c>
      <c r="AM35" s="60">
        <f t="shared" si="40"/>
        <v>253.32158025000001</v>
      </c>
      <c r="AN35" s="60" t="s">
        <v>170</v>
      </c>
      <c r="AO35" s="60">
        <v>6.3</v>
      </c>
      <c r="AP35" s="60">
        <v>0.1</v>
      </c>
      <c r="AQ35" s="60">
        <f t="shared" si="16"/>
        <v>18.792899999999999</v>
      </c>
      <c r="AR35" s="60">
        <f t="shared" si="17"/>
        <v>272.11448024999999</v>
      </c>
      <c r="AS35" s="60" t="s">
        <v>174</v>
      </c>
      <c r="AT35" s="60">
        <v>49.93</v>
      </c>
      <c r="AU35" s="60">
        <v>2.52</v>
      </c>
      <c r="AV35" s="60">
        <f t="shared" si="42"/>
        <v>10.685160303300002</v>
      </c>
      <c r="AW35" s="60">
        <v>50000</v>
      </c>
      <c r="AX35" s="60">
        <v>23</v>
      </c>
      <c r="AY35" s="60" t="s">
        <v>186</v>
      </c>
      <c r="AZ35" s="60">
        <v>4422.03</v>
      </c>
      <c r="BA35" s="80">
        <v>6</v>
      </c>
      <c r="BB35" s="60">
        <f t="shared" si="41"/>
        <v>12.2048028</v>
      </c>
      <c r="BC35" s="60">
        <v>37.44</v>
      </c>
      <c r="BD35" s="60">
        <v>34.82</v>
      </c>
      <c r="BE35" s="60"/>
      <c r="BF35" s="60">
        <v>6.5</v>
      </c>
      <c r="BG35" s="60"/>
      <c r="BH35" s="80">
        <f t="shared" si="19"/>
        <v>712.17386253072129</v>
      </c>
      <c r="BI35" s="60">
        <f t="shared" si="20"/>
        <v>47.496058831918781</v>
      </c>
      <c r="BJ35" s="80">
        <f t="shared" si="21"/>
        <v>780.25946286627686</v>
      </c>
      <c r="BK35" s="102">
        <f t="shared" si="22"/>
        <v>682.96378634909127</v>
      </c>
      <c r="BL35" s="43"/>
      <c r="BM35" s="43"/>
      <c r="BN35" s="33"/>
      <c r="BR35" s="127"/>
    </row>
    <row r="36" spans="1:70" ht="72" customHeight="1" x14ac:dyDescent="0.25">
      <c r="A36" s="58" t="s">
        <v>109</v>
      </c>
      <c r="B36" s="156" t="s">
        <v>244</v>
      </c>
      <c r="C36" s="156" t="s">
        <v>6</v>
      </c>
      <c r="D36" s="156" t="s">
        <v>311</v>
      </c>
      <c r="E36" s="156">
        <v>4</v>
      </c>
      <c r="F36" s="156">
        <v>71.16</v>
      </c>
      <c r="G36" s="156">
        <v>6</v>
      </c>
      <c r="H36" s="101">
        <f t="shared" si="0"/>
        <v>4.2695999999999996</v>
      </c>
      <c r="I36" s="156"/>
      <c r="J36" s="156">
        <f t="shared" si="1"/>
        <v>0</v>
      </c>
      <c r="K36" s="156"/>
      <c r="L36" s="156">
        <f t="shared" si="2"/>
        <v>0</v>
      </c>
      <c r="M36" s="156"/>
      <c r="N36" s="156">
        <v>25</v>
      </c>
      <c r="O36" s="156">
        <f t="shared" si="3"/>
        <v>17.79</v>
      </c>
      <c r="P36" s="156"/>
      <c r="Q36" s="156"/>
      <c r="R36" s="156">
        <v>40</v>
      </c>
      <c r="S36" s="156">
        <f t="shared" si="4"/>
        <v>37.287839999999996</v>
      </c>
      <c r="T36" s="156">
        <v>30</v>
      </c>
      <c r="U36" s="156">
        <f t="shared" si="5"/>
        <v>39.152231999999998</v>
      </c>
      <c r="V36" s="156">
        <v>30</v>
      </c>
      <c r="W36" s="156">
        <f t="shared" si="6"/>
        <v>39.152231999999998</v>
      </c>
      <c r="X36" s="60">
        <f t="shared" si="7"/>
        <v>208.81190399999997</v>
      </c>
      <c r="Y36" s="60">
        <f t="shared" si="8"/>
        <v>1.5228426395939085</v>
      </c>
      <c r="Z36" s="60">
        <f t="shared" si="9"/>
        <v>12.528714239999998</v>
      </c>
      <c r="AA36" s="60">
        <f t="shared" si="10"/>
        <v>14.61683328</v>
      </c>
      <c r="AB36" s="60">
        <f t="shared" si="11"/>
        <v>237.48029415959388</v>
      </c>
      <c r="AC36" s="60">
        <f t="shared" si="34"/>
        <v>71.719048836197345</v>
      </c>
      <c r="AD36" s="60">
        <f t="shared" si="12"/>
        <v>29.210076181630047</v>
      </c>
      <c r="AE36" s="60">
        <f t="shared" si="13"/>
        <v>20.589541503636791</v>
      </c>
      <c r="AF36" s="60" t="s">
        <v>85</v>
      </c>
      <c r="AG36" s="160">
        <v>29.83</v>
      </c>
      <c r="AH36" s="60">
        <v>27</v>
      </c>
      <c r="AI36" s="60">
        <v>35.1</v>
      </c>
      <c r="AJ36" s="60">
        <v>37.530000000000008</v>
      </c>
      <c r="AK36" s="60">
        <v>39.96</v>
      </c>
      <c r="AL36" s="60">
        <f t="shared" si="14"/>
        <v>36.922500000000007</v>
      </c>
      <c r="AM36" s="60">
        <f t="shared" si="40"/>
        <v>253.32158025000001</v>
      </c>
      <c r="AN36" s="60" t="s">
        <v>170</v>
      </c>
      <c r="AO36" s="60">
        <v>6.3</v>
      </c>
      <c r="AP36" s="60">
        <v>0.1</v>
      </c>
      <c r="AQ36" s="60">
        <f t="shared" si="16"/>
        <v>18.792899999999999</v>
      </c>
      <c r="AR36" s="60">
        <f t="shared" si="17"/>
        <v>272.11448024999999</v>
      </c>
      <c r="AS36" s="60" t="s">
        <v>174</v>
      </c>
      <c r="AT36" s="60">
        <v>49.93</v>
      </c>
      <c r="AU36" s="60">
        <v>2.52</v>
      </c>
      <c r="AV36" s="60">
        <f t="shared" si="42"/>
        <v>10.685160303300002</v>
      </c>
      <c r="AW36" s="60">
        <v>50000</v>
      </c>
      <c r="AX36" s="60">
        <v>23</v>
      </c>
      <c r="AY36" s="60" t="s">
        <v>186</v>
      </c>
      <c r="AZ36" s="60">
        <v>4422.03</v>
      </c>
      <c r="BA36" s="80">
        <v>6</v>
      </c>
      <c r="BB36" s="60">
        <f t="shared" si="41"/>
        <v>12.2048028</v>
      </c>
      <c r="BC36" s="60">
        <v>37.44</v>
      </c>
      <c r="BD36" s="60">
        <v>34.82</v>
      </c>
      <c r="BE36" s="60"/>
      <c r="BF36" s="60">
        <v>6.5</v>
      </c>
      <c r="BG36" s="60"/>
      <c r="BH36" s="80">
        <f t="shared" si="19"/>
        <v>712.17386253072129</v>
      </c>
      <c r="BI36" s="60">
        <f t="shared" si="20"/>
        <v>47.496058831918781</v>
      </c>
      <c r="BJ36" s="80">
        <f t="shared" si="21"/>
        <v>780.25946286627686</v>
      </c>
      <c r="BK36" s="102">
        <f t="shared" si="22"/>
        <v>682.96378634909127</v>
      </c>
      <c r="BL36" s="43"/>
      <c r="BM36" s="43"/>
      <c r="BN36" s="33"/>
      <c r="BR36" s="127"/>
    </row>
    <row r="37" spans="1:70" ht="47.25" x14ac:dyDescent="0.25">
      <c r="A37" s="37" t="s">
        <v>110</v>
      </c>
      <c r="B37" s="156" t="s">
        <v>449</v>
      </c>
      <c r="C37" s="156" t="s">
        <v>31</v>
      </c>
      <c r="D37" s="156" t="s">
        <v>311</v>
      </c>
      <c r="E37" s="156">
        <v>4</v>
      </c>
      <c r="F37" s="156">
        <v>63.25</v>
      </c>
      <c r="G37" s="156">
        <v>6</v>
      </c>
      <c r="H37" s="101">
        <f t="shared" ref="H37:H44" si="43">F37*G37/100</f>
        <v>3.7949999999999999</v>
      </c>
      <c r="I37" s="156"/>
      <c r="J37" s="156">
        <f t="shared" ref="J37:J44" si="44">F37*I37/100</f>
        <v>0</v>
      </c>
      <c r="K37" s="156"/>
      <c r="L37" s="156">
        <f t="shared" ref="L37:L44" si="45">F37*K37/100</f>
        <v>0</v>
      </c>
      <c r="M37" s="156"/>
      <c r="N37" s="156">
        <v>25</v>
      </c>
      <c r="O37" s="156">
        <f t="shared" ref="O37:O44" si="46">F37*N37/100</f>
        <v>15.8125</v>
      </c>
      <c r="P37" s="156"/>
      <c r="Q37" s="156"/>
      <c r="R37" s="156">
        <v>40</v>
      </c>
      <c r="S37" s="156">
        <f t="shared" ref="S37:S44" si="47">(F37+H37+J37+L37+M37+O37+Q37)*R37/100</f>
        <v>33.143000000000001</v>
      </c>
      <c r="T37" s="156">
        <v>30</v>
      </c>
      <c r="U37" s="156">
        <f t="shared" ref="U37:U44" si="48">(F37+H37+J37+L37+M37+O37+Q37+S37)*30/100</f>
        <v>34.800150000000002</v>
      </c>
      <c r="V37" s="156">
        <v>30</v>
      </c>
      <c r="W37" s="156">
        <f t="shared" ref="W37:W44" si="49">U37</f>
        <v>34.800150000000002</v>
      </c>
      <c r="X37" s="60">
        <f t="shared" ref="X37:X44" si="50">F37+H37+J37+L37+M37+O37+Q37+S37+U37+W37</f>
        <v>185.60080000000002</v>
      </c>
      <c r="Y37" s="60">
        <f t="shared" si="8"/>
        <v>1.5228426395939085</v>
      </c>
      <c r="Z37" s="60">
        <f t="shared" si="9"/>
        <v>11.136048000000001</v>
      </c>
      <c r="AA37" s="60">
        <f t="shared" si="10"/>
        <v>12.992056000000003</v>
      </c>
      <c r="AB37" s="60">
        <f t="shared" si="11"/>
        <v>211.2517466395939</v>
      </c>
      <c r="AC37" s="60">
        <f t="shared" si="34"/>
        <v>63.798027485157355</v>
      </c>
      <c r="AD37" s="60">
        <f t="shared" si="12"/>
        <v>25.983964836670051</v>
      </c>
      <c r="AE37" s="60">
        <f t="shared" si="13"/>
        <v>18.315526433652792</v>
      </c>
      <c r="AF37" s="60" t="s">
        <v>85</v>
      </c>
      <c r="AG37" s="160">
        <v>29.83</v>
      </c>
      <c r="AH37" s="60">
        <v>24.5</v>
      </c>
      <c r="AI37" s="60">
        <v>34.300000000000004</v>
      </c>
      <c r="AJ37" s="60">
        <v>36.50500000000001</v>
      </c>
      <c r="AK37" s="60">
        <v>38.710000000000008</v>
      </c>
      <c r="AL37" s="60">
        <f t="shared" si="14"/>
        <v>35.953750000000007</v>
      </c>
      <c r="AM37" s="60">
        <f t="shared" si="40"/>
        <v>246.67508337500001</v>
      </c>
      <c r="AN37" s="60"/>
      <c r="AO37" s="60"/>
      <c r="AP37" s="60"/>
      <c r="AQ37" s="60">
        <f t="shared" ref="AQ37:AQ44" si="51">AG37*AO37*AP37</f>
        <v>0</v>
      </c>
      <c r="AR37" s="60">
        <f t="shared" ref="AR37:AR44" si="52">AM37+AQ37</f>
        <v>246.67508337500001</v>
      </c>
      <c r="AS37" s="60" t="s">
        <v>174</v>
      </c>
      <c r="AT37" s="60">
        <v>49.93</v>
      </c>
      <c r="AU37" s="60">
        <v>2.52</v>
      </c>
      <c r="AV37" s="60">
        <f t="shared" si="42"/>
        <v>10.404809594550002</v>
      </c>
      <c r="AW37" s="60">
        <v>50000</v>
      </c>
      <c r="AX37" s="60">
        <v>23</v>
      </c>
      <c r="AY37" s="60" t="s">
        <v>186</v>
      </c>
      <c r="AZ37" s="60">
        <v>4422.03</v>
      </c>
      <c r="BA37" s="80">
        <v>6</v>
      </c>
      <c r="BB37" s="60">
        <f t="shared" si="41"/>
        <v>12.2048028</v>
      </c>
      <c r="BC37" s="60">
        <v>37.44</v>
      </c>
      <c r="BD37" s="60">
        <v>34.82</v>
      </c>
      <c r="BE37" s="60"/>
      <c r="BF37" s="60">
        <v>6.5</v>
      </c>
      <c r="BG37" s="60"/>
      <c r="BH37" s="80">
        <f t="shared" si="19"/>
        <v>649.07843473097148</v>
      </c>
      <c r="BI37" s="60">
        <f t="shared" si="20"/>
        <v>42.250349327918784</v>
      </c>
      <c r="BJ37" s="80">
        <f t="shared" si="21"/>
        <v>709.64431049254301</v>
      </c>
      <c r="BK37" s="102">
        <f t="shared" si="22"/>
        <v>623.09446989430148</v>
      </c>
      <c r="BL37" s="43"/>
      <c r="BM37" s="43"/>
      <c r="BN37" s="33"/>
      <c r="BR37" s="127"/>
    </row>
    <row r="38" spans="1:70" ht="47.25" x14ac:dyDescent="0.25">
      <c r="A38" s="37" t="s">
        <v>111</v>
      </c>
      <c r="B38" s="156" t="s">
        <v>450</v>
      </c>
      <c r="C38" s="156" t="s">
        <v>32</v>
      </c>
      <c r="D38" s="156" t="s">
        <v>311</v>
      </c>
      <c r="E38" s="156">
        <v>4</v>
      </c>
      <c r="F38" s="156">
        <v>63.25</v>
      </c>
      <c r="G38" s="156">
        <v>4</v>
      </c>
      <c r="H38" s="101">
        <f t="shared" si="43"/>
        <v>2.5299999999999998</v>
      </c>
      <c r="I38" s="156"/>
      <c r="J38" s="156">
        <f t="shared" si="44"/>
        <v>0</v>
      </c>
      <c r="K38" s="156"/>
      <c r="L38" s="156">
        <f t="shared" si="45"/>
        <v>0</v>
      </c>
      <c r="M38" s="156"/>
      <c r="N38" s="156">
        <v>25</v>
      </c>
      <c r="O38" s="156">
        <f t="shared" si="46"/>
        <v>15.8125</v>
      </c>
      <c r="P38" s="156"/>
      <c r="Q38" s="156"/>
      <c r="R38" s="156">
        <v>40</v>
      </c>
      <c r="S38" s="156">
        <f t="shared" si="47"/>
        <v>32.637</v>
      </c>
      <c r="T38" s="156">
        <v>30</v>
      </c>
      <c r="U38" s="156">
        <f t="shared" si="48"/>
        <v>34.26885</v>
      </c>
      <c r="V38" s="156">
        <v>30</v>
      </c>
      <c r="W38" s="156">
        <f t="shared" si="49"/>
        <v>34.26885</v>
      </c>
      <c r="X38" s="60">
        <f t="shared" si="50"/>
        <v>182.7672</v>
      </c>
      <c r="Y38" s="60">
        <f t="shared" si="8"/>
        <v>1.5228426395939085</v>
      </c>
      <c r="Z38" s="60">
        <f t="shared" si="9"/>
        <v>10.966032</v>
      </c>
      <c r="AA38" s="60">
        <f t="shared" si="10"/>
        <v>12.793704000000002</v>
      </c>
      <c r="AB38" s="60">
        <f t="shared" si="11"/>
        <v>208.04977863959391</v>
      </c>
      <c r="AC38" s="60">
        <f t="shared" si="34"/>
        <v>62.831033149157356</v>
      </c>
      <c r="AD38" s="60">
        <f t="shared" si="12"/>
        <v>25.59012277267005</v>
      </c>
      <c r="AE38" s="60">
        <f t="shared" si="13"/>
        <v>18.037915808052794</v>
      </c>
      <c r="AF38" s="60" t="s">
        <v>85</v>
      </c>
      <c r="AG38" s="160">
        <v>29.83</v>
      </c>
      <c r="AH38" s="60">
        <v>15</v>
      </c>
      <c r="AI38" s="60">
        <v>21</v>
      </c>
      <c r="AJ38" s="60">
        <v>22.35</v>
      </c>
      <c r="AK38" s="60">
        <v>23.7</v>
      </c>
      <c r="AL38" s="60">
        <f t="shared" si="14"/>
        <v>22.012499999999999</v>
      </c>
      <c r="AM38" s="60">
        <f t="shared" si="40"/>
        <v>151.02556124999998</v>
      </c>
      <c r="AN38" s="60"/>
      <c r="AO38" s="60"/>
      <c r="AP38" s="60"/>
      <c r="AQ38" s="60">
        <f t="shared" si="51"/>
        <v>0</v>
      </c>
      <c r="AR38" s="60">
        <f t="shared" si="52"/>
        <v>151.02556124999998</v>
      </c>
      <c r="AS38" s="60" t="s">
        <v>174</v>
      </c>
      <c r="AT38" s="60">
        <v>49.93</v>
      </c>
      <c r="AU38" s="60">
        <v>2.52</v>
      </c>
      <c r="AV38" s="60">
        <f t="shared" si="42"/>
        <v>6.3702915884999998</v>
      </c>
      <c r="AW38" s="60">
        <v>50000</v>
      </c>
      <c r="AX38" s="60">
        <v>23</v>
      </c>
      <c r="AY38" s="60" t="s">
        <v>187</v>
      </c>
      <c r="AZ38" s="60">
        <v>6424.57</v>
      </c>
      <c r="BA38" s="80">
        <v>6</v>
      </c>
      <c r="BB38" s="60">
        <f t="shared" si="41"/>
        <v>17.731813199999998</v>
      </c>
      <c r="BC38" s="60">
        <v>37.44</v>
      </c>
      <c r="BD38" s="60">
        <v>34.82</v>
      </c>
      <c r="BE38" s="60"/>
      <c r="BF38" s="60">
        <v>6.5</v>
      </c>
      <c r="BG38" s="60"/>
      <c r="BH38" s="80">
        <f t="shared" si="19"/>
        <v>550.35860059992126</v>
      </c>
      <c r="BI38" s="60">
        <f t="shared" si="20"/>
        <v>41.609955727918788</v>
      </c>
      <c r="BJ38" s="80">
        <f t="shared" si="21"/>
        <v>610.00647213589286</v>
      </c>
      <c r="BK38" s="102">
        <f t="shared" si="22"/>
        <v>524.76847782725122</v>
      </c>
      <c r="BL38" s="43"/>
      <c r="BM38" s="43"/>
      <c r="BN38" s="33"/>
      <c r="BR38" s="127"/>
    </row>
    <row r="39" spans="1:70" ht="63" x14ac:dyDescent="0.25">
      <c r="A39" s="37" t="s">
        <v>112</v>
      </c>
      <c r="B39" s="156" t="s">
        <v>33</v>
      </c>
      <c r="C39" s="156" t="s">
        <v>34</v>
      </c>
      <c r="D39" s="156" t="s">
        <v>311</v>
      </c>
      <c r="E39" s="156">
        <v>4</v>
      </c>
      <c r="F39" s="156">
        <v>63.25</v>
      </c>
      <c r="G39" s="156">
        <v>0</v>
      </c>
      <c r="H39" s="101">
        <f t="shared" si="43"/>
        <v>0</v>
      </c>
      <c r="I39" s="156"/>
      <c r="J39" s="156">
        <f t="shared" si="44"/>
        <v>0</v>
      </c>
      <c r="K39" s="156"/>
      <c r="L39" s="156">
        <f t="shared" si="45"/>
        <v>0</v>
      </c>
      <c r="M39" s="156"/>
      <c r="N39" s="156">
        <v>25</v>
      </c>
      <c r="O39" s="156">
        <f t="shared" si="46"/>
        <v>15.8125</v>
      </c>
      <c r="P39" s="156"/>
      <c r="Q39" s="156"/>
      <c r="R39" s="156">
        <v>40</v>
      </c>
      <c r="S39" s="156">
        <f t="shared" si="47"/>
        <v>31.625</v>
      </c>
      <c r="T39" s="156">
        <v>30</v>
      </c>
      <c r="U39" s="156">
        <f t="shared" si="48"/>
        <v>33.206249999999997</v>
      </c>
      <c r="V39" s="156">
        <v>30</v>
      </c>
      <c r="W39" s="156">
        <f t="shared" si="49"/>
        <v>33.206249999999997</v>
      </c>
      <c r="X39" s="60">
        <f t="shared" si="50"/>
        <v>177.10000000000002</v>
      </c>
      <c r="Y39" s="60">
        <f t="shared" si="8"/>
        <v>1.5228426395939085</v>
      </c>
      <c r="Z39" s="60">
        <f t="shared" si="9"/>
        <v>10.626000000000001</v>
      </c>
      <c r="AA39" s="60">
        <f t="shared" si="10"/>
        <v>12.397000000000002</v>
      </c>
      <c r="AB39" s="60">
        <f t="shared" si="11"/>
        <v>201.64584263959392</v>
      </c>
      <c r="AC39" s="60">
        <f t="shared" si="34"/>
        <v>60.897044477157365</v>
      </c>
      <c r="AD39" s="60">
        <f t="shared" si="12"/>
        <v>24.802438644670051</v>
      </c>
      <c r="AE39" s="60">
        <f t="shared" si="13"/>
        <v>17.482694556852792</v>
      </c>
      <c r="AF39" s="60" t="s">
        <v>85</v>
      </c>
      <c r="AG39" s="160">
        <v>29.83</v>
      </c>
      <c r="AH39" s="60">
        <v>24.5</v>
      </c>
      <c r="AI39" s="60">
        <v>34.300000000000004</v>
      </c>
      <c r="AJ39" s="60">
        <v>36.50500000000001</v>
      </c>
      <c r="AK39" s="60">
        <v>38.710000000000008</v>
      </c>
      <c r="AL39" s="60">
        <f t="shared" si="14"/>
        <v>35.953750000000007</v>
      </c>
      <c r="AM39" s="60">
        <f t="shared" si="40"/>
        <v>246.67508337500001</v>
      </c>
      <c r="AN39" s="60"/>
      <c r="AO39" s="60"/>
      <c r="AP39" s="60"/>
      <c r="AQ39" s="60">
        <f t="shared" si="51"/>
        <v>0</v>
      </c>
      <c r="AR39" s="60">
        <f t="shared" si="52"/>
        <v>246.67508337500001</v>
      </c>
      <c r="AS39" s="60" t="s">
        <v>174</v>
      </c>
      <c r="AT39" s="60">
        <v>49.93</v>
      </c>
      <c r="AU39" s="60">
        <v>2.52</v>
      </c>
      <c r="AV39" s="60">
        <f t="shared" si="42"/>
        <v>10.404809594550002</v>
      </c>
      <c r="AW39" s="60">
        <v>50000</v>
      </c>
      <c r="AX39" s="60">
        <v>23</v>
      </c>
      <c r="AY39" s="60" t="s">
        <v>186</v>
      </c>
      <c r="AZ39" s="60">
        <v>4422.03</v>
      </c>
      <c r="BA39" s="80">
        <v>6</v>
      </c>
      <c r="BB39" s="60">
        <f t="shared" si="41"/>
        <v>12.2048028</v>
      </c>
      <c r="BC39" s="60">
        <v>37.44</v>
      </c>
      <c r="BD39" s="60">
        <v>34.82</v>
      </c>
      <c r="BE39" s="60"/>
      <c r="BF39" s="60">
        <v>6.5</v>
      </c>
      <c r="BG39" s="60"/>
      <c r="BH39" s="80">
        <f t="shared" si="19"/>
        <v>635.39002153097147</v>
      </c>
      <c r="BI39" s="60">
        <f t="shared" si="20"/>
        <v>40.329168527918789</v>
      </c>
      <c r="BJ39" s="80">
        <f t="shared" si="21"/>
        <v>693.2018846157431</v>
      </c>
      <c r="BK39" s="102">
        <f t="shared" si="22"/>
        <v>610.58758288630145</v>
      </c>
      <c r="BL39" s="43"/>
      <c r="BM39" s="43"/>
      <c r="BN39" s="33"/>
      <c r="BR39" s="127"/>
    </row>
    <row r="40" spans="1:70" ht="47.25" x14ac:dyDescent="0.25">
      <c r="A40" s="37" t="s">
        <v>113</v>
      </c>
      <c r="B40" s="156" t="s">
        <v>30</v>
      </c>
      <c r="C40" s="156" t="s">
        <v>35</v>
      </c>
      <c r="D40" s="156" t="s">
        <v>311</v>
      </c>
      <c r="E40" s="156">
        <v>4</v>
      </c>
      <c r="F40" s="156">
        <v>63.25</v>
      </c>
      <c r="G40" s="156">
        <v>0</v>
      </c>
      <c r="H40" s="101">
        <f t="shared" si="43"/>
        <v>0</v>
      </c>
      <c r="I40" s="156"/>
      <c r="J40" s="156">
        <f t="shared" si="44"/>
        <v>0</v>
      </c>
      <c r="K40" s="156"/>
      <c r="L40" s="156">
        <f t="shared" si="45"/>
        <v>0</v>
      </c>
      <c r="M40" s="156"/>
      <c r="N40" s="156">
        <v>25</v>
      </c>
      <c r="O40" s="156">
        <f t="shared" si="46"/>
        <v>15.8125</v>
      </c>
      <c r="P40" s="156"/>
      <c r="Q40" s="156"/>
      <c r="R40" s="156">
        <v>40</v>
      </c>
      <c r="S40" s="156">
        <f t="shared" si="47"/>
        <v>31.625</v>
      </c>
      <c r="T40" s="156">
        <v>30</v>
      </c>
      <c r="U40" s="156">
        <f t="shared" si="48"/>
        <v>33.206249999999997</v>
      </c>
      <c r="V40" s="156">
        <v>30</v>
      </c>
      <c r="W40" s="156">
        <f t="shared" si="49"/>
        <v>33.206249999999997</v>
      </c>
      <c r="X40" s="60">
        <f t="shared" si="50"/>
        <v>177.10000000000002</v>
      </c>
      <c r="Y40" s="60">
        <f t="shared" si="8"/>
        <v>1.5228426395939085</v>
      </c>
      <c r="Z40" s="60">
        <f t="shared" si="9"/>
        <v>10.626000000000001</v>
      </c>
      <c r="AA40" s="60">
        <f t="shared" si="10"/>
        <v>12.397000000000002</v>
      </c>
      <c r="AB40" s="60">
        <f t="shared" si="11"/>
        <v>201.64584263959392</v>
      </c>
      <c r="AC40" s="60">
        <f t="shared" si="34"/>
        <v>60.897044477157365</v>
      </c>
      <c r="AD40" s="60">
        <f t="shared" si="12"/>
        <v>24.802438644670051</v>
      </c>
      <c r="AE40" s="60">
        <f t="shared" si="13"/>
        <v>17.482694556852792</v>
      </c>
      <c r="AF40" s="60" t="s">
        <v>85</v>
      </c>
      <c r="AG40" s="160">
        <v>29.83</v>
      </c>
      <c r="AH40" s="60">
        <v>24.5</v>
      </c>
      <c r="AI40" s="60">
        <v>34.300000000000004</v>
      </c>
      <c r="AJ40" s="60">
        <v>36.50500000000001</v>
      </c>
      <c r="AK40" s="60">
        <v>38.710000000000008</v>
      </c>
      <c r="AL40" s="60">
        <f t="shared" si="14"/>
        <v>35.953750000000007</v>
      </c>
      <c r="AM40" s="60">
        <f t="shared" si="40"/>
        <v>246.67508337500001</v>
      </c>
      <c r="AN40" s="60"/>
      <c r="AO40" s="60"/>
      <c r="AP40" s="60"/>
      <c r="AQ40" s="60">
        <f t="shared" si="51"/>
        <v>0</v>
      </c>
      <c r="AR40" s="60">
        <f t="shared" si="52"/>
        <v>246.67508337500001</v>
      </c>
      <c r="AS40" s="60" t="s">
        <v>174</v>
      </c>
      <c r="AT40" s="60">
        <v>49.93</v>
      </c>
      <c r="AU40" s="60">
        <v>2.52</v>
      </c>
      <c r="AV40" s="60">
        <f t="shared" si="42"/>
        <v>10.404809594550002</v>
      </c>
      <c r="AW40" s="60">
        <v>50000</v>
      </c>
      <c r="AX40" s="60">
        <v>23</v>
      </c>
      <c r="AY40" s="60" t="s">
        <v>186</v>
      </c>
      <c r="AZ40" s="60">
        <v>4422.03</v>
      </c>
      <c r="BA40" s="80">
        <v>6</v>
      </c>
      <c r="BB40" s="60">
        <f t="shared" si="41"/>
        <v>12.2048028</v>
      </c>
      <c r="BC40" s="60">
        <v>37.44</v>
      </c>
      <c r="BD40" s="60">
        <v>34.82</v>
      </c>
      <c r="BE40" s="60"/>
      <c r="BF40" s="60">
        <v>6.5</v>
      </c>
      <c r="BG40" s="60"/>
      <c r="BH40" s="80">
        <f t="shared" si="19"/>
        <v>635.39002153097147</v>
      </c>
      <c r="BI40" s="60">
        <f t="shared" si="20"/>
        <v>40.329168527918789</v>
      </c>
      <c r="BJ40" s="80">
        <f t="shared" si="21"/>
        <v>693.2018846157431</v>
      </c>
      <c r="BK40" s="102">
        <f t="shared" si="22"/>
        <v>610.58758288630145</v>
      </c>
      <c r="BL40" s="43"/>
      <c r="BM40" s="43"/>
      <c r="BN40" s="33"/>
      <c r="BR40" s="127"/>
    </row>
    <row r="41" spans="1:70" ht="78.75" x14ac:dyDescent="0.25">
      <c r="A41" s="37" t="s">
        <v>114</v>
      </c>
      <c r="B41" s="156" t="s">
        <v>242</v>
      </c>
      <c r="C41" s="156" t="s">
        <v>219</v>
      </c>
      <c r="D41" s="156" t="s">
        <v>311</v>
      </c>
      <c r="E41" s="156">
        <v>4</v>
      </c>
      <c r="F41" s="156">
        <v>71.16</v>
      </c>
      <c r="G41" s="156">
        <v>6</v>
      </c>
      <c r="H41" s="101">
        <f>F41*G41/100</f>
        <v>4.2695999999999996</v>
      </c>
      <c r="I41" s="156"/>
      <c r="J41" s="156">
        <f>F41*I41/100</f>
        <v>0</v>
      </c>
      <c r="K41" s="156"/>
      <c r="L41" s="156">
        <f>F41*K41/100</f>
        <v>0</v>
      </c>
      <c r="M41" s="156"/>
      <c r="N41" s="156">
        <v>25</v>
      </c>
      <c r="O41" s="156">
        <f>F41*N41/100</f>
        <v>17.79</v>
      </c>
      <c r="P41" s="156"/>
      <c r="Q41" s="156"/>
      <c r="R41" s="156">
        <v>40</v>
      </c>
      <c r="S41" s="156">
        <f>(F41+H41+J41+L41+M41+O41+Q41)*R41/100</f>
        <v>37.287839999999996</v>
      </c>
      <c r="T41" s="156">
        <v>30</v>
      </c>
      <c r="U41" s="156">
        <f>(F41+H41+J41+L41+M41+O41+Q41+S41)*30/100</f>
        <v>39.152231999999998</v>
      </c>
      <c r="V41" s="156">
        <v>30</v>
      </c>
      <c r="W41" s="156">
        <f>U41</f>
        <v>39.152231999999998</v>
      </c>
      <c r="X41" s="60">
        <f>F41+H41+J41+L41+M41+O41+Q41+S41+U41+W41</f>
        <v>208.81190399999997</v>
      </c>
      <c r="Y41" s="60">
        <f t="shared" si="8"/>
        <v>1.5228426395939085</v>
      </c>
      <c r="Z41" s="60">
        <f>X41*0.06</f>
        <v>12.528714239999998</v>
      </c>
      <c r="AA41" s="60">
        <f>X41*0.07</f>
        <v>14.61683328</v>
      </c>
      <c r="AB41" s="60">
        <f>X41+Y41+Z41+AA41</f>
        <v>237.48029415959388</v>
      </c>
      <c r="AC41" s="60">
        <f t="shared" si="34"/>
        <v>71.719048836197345</v>
      </c>
      <c r="AD41" s="60">
        <f t="shared" si="12"/>
        <v>29.210076181630047</v>
      </c>
      <c r="AE41" s="60">
        <f t="shared" si="13"/>
        <v>20.589541503636791</v>
      </c>
      <c r="AF41" s="60" t="s">
        <v>85</v>
      </c>
      <c r="AG41" s="160">
        <v>29.83</v>
      </c>
      <c r="AH41" s="60">
        <v>27</v>
      </c>
      <c r="AI41" s="60">
        <v>35.1</v>
      </c>
      <c r="AJ41" s="60">
        <v>37.530000000000008</v>
      </c>
      <c r="AK41" s="60">
        <v>39.96</v>
      </c>
      <c r="AL41" s="60">
        <f t="shared" si="14"/>
        <v>36.922500000000007</v>
      </c>
      <c r="AM41" s="60">
        <f>AG41*AL41/100*23</f>
        <v>253.32158025000001</v>
      </c>
      <c r="AN41" s="60" t="s">
        <v>170</v>
      </c>
      <c r="AO41" s="60">
        <v>6.3</v>
      </c>
      <c r="AP41" s="60">
        <v>0.1</v>
      </c>
      <c r="AQ41" s="60">
        <f>AG41*AO41*AP41</f>
        <v>18.792899999999999</v>
      </c>
      <c r="AR41" s="60">
        <f>AM41+AQ41</f>
        <v>272.11448024999999</v>
      </c>
      <c r="AS41" s="60" t="s">
        <v>174</v>
      </c>
      <c r="AT41" s="60">
        <v>49.93</v>
      </c>
      <c r="AU41" s="60">
        <v>2.52</v>
      </c>
      <c r="AV41" s="60">
        <f>AL41/100*23*AU41/100*AT41</f>
        <v>10.685160303300002</v>
      </c>
      <c r="AW41" s="60">
        <v>50000</v>
      </c>
      <c r="AX41" s="60">
        <v>23</v>
      </c>
      <c r="AY41" s="60" t="s">
        <v>186</v>
      </c>
      <c r="AZ41" s="60">
        <v>4422.03</v>
      </c>
      <c r="BA41" s="80">
        <v>6</v>
      </c>
      <c r="BB41" s="60">
        <f>AZ41*BA41/AW41*AX41</f>
        <v>12.2048028</v>
      </c>
      <c r="BC41" s="60">
        <v>37.44</v>
      </c>
      <c r="BD41" s="60">
        <v>34.82</v>
      </c>
      <c r="BE41" s="60"/>
      <c r="BF41" s="60">
        <v>6.5</v>
      </c>
      <c r="BG41" s="60"/>
      <c r="BH41" s="80">
        <f>AB41+AC41+AD41+AR41+AV41+BB41+BC41+BD41+BE41+BF41</f>
        <v>712.17386253072129</v>
      </c>
      <c r="BI41" s="60">
        <f t="shared" si="20"/>
        <v>47.496058831918781</v>
      </c>
      <c r="BJ41" s="80">
        <f>BH41+AE41+BI41</f>
        <v>780.25946286627686</v>
      </c>
      <c r="BK41" s="102">
        <f>BH41-AD41</f>
        <v>682.96378634909127</v>
      </c>
      <c r="BL41" s="43"/>
      <c r="BM41" s="43"/>
      <c r="BN41" s="33"/>
      <c r="BR41" s="127"/>
    </row>
    <row r="42" spans="1:70" ht="70.5" customHeight="1" x14ac:dyDescent="0.25">
      <c r="A42" s="58" t="s">
        <v>115</v>
      </c>
      <c r="B42" s="161" t="s">
        <v>470</v>
      </c>
      <c r="C42" s="161" t="s">
        <v>471</v>
      </c>
      <c r="D42" s="156" t="s">
        <v>311</v>
      </c>
      <c r="E42" s="156">
        <v>4</v>
      </c>
      <c r="F42" s="156">
        <v>71.16</v>
      </c>
      <c r="G42" s="156">
        <v>0</v>
      </c>
      <c r="H42" s="101">
        <f>F42*G42/100</f>
        <v>0</v>
      </c>
      <c r="I42" s="156"/>
      <c r="J42" s="156">
        <f>F42*I42/100</f>
        <v>0</v>
      </c>
      <c r="K42" s="156"/>
      <c r="L42" s="156">
        <f>F42*K42/100</f>
        <v>0</v>
      </c>
      <c r="M42" s="156"/>
      <c r="N42" s="156">
        <v>25</v>
      </c>
      <c r="O42" s="156">
        <f>F42*N42/100</f>
        <v>17.79</v>
      </c>
      <c r="P42" s="156"/>
      <c r="Q42" s="156"/>
      <c r="R42" s="156">
        <v>40</v>
      </c>
      <c r="S42" s="156">
        <f>(F42+H42+J42+L42+M42+O42+Q42)*R42/100</f>
        <v>35.58</v>
      </c>
      <c r="T42" s="156">
        <v>30</v>
      </c>
      <c r="U42" s="156">
        <f>(F42+H42+J42+L42+M42+O42+Q42+S42)*30/100</f>
        <v>37.358999999999995</v>
      </c>
      <c r="V42" s="156">
        <v>30</v>
      </c>
      <c r="W42" s="156">
        <f>U42</f>
        <v>37.358999999999995</v>
      </c>
      <c r="X42" s="60">
        <f>F42+H42+J42+L42+M42+O42+Q42+S42+U42+W42</f>
        <v>199.24799999999999</v>
      </c>
      <c r="Y42" s="60">
        <f>3000/1974</f>
        <v>1.5197568389057752</v>
      </c>
      <c r="Z42" s="60">
        <f>(X42-S42*1.6)*0.06</f>
        <v>8.5391999999999992</v>
      </c>
      <c r="AA42" s="60">
        <f>X42*0.07</f>
        <v>13.947360000000002</v>
      </c>
      <c r="AB42" s="60">
        <f>X42+Y42+Z42+AA42</f>
        <v>223.25431683890577</v>
      </c>
      <c r="AC42" s="60">
        <f>AB42*0.302</f>
        <v>67.422803685349535</v>
      </c>
      <c r="AD42" s="60">
        <f t="shared" si="12"/>
        <v>27.460280971185409</v>
      </c>
      <c r="AE42" s="60">
        <f t="shared" si="13"/>
        <v>19.35614926993313</v>
      </c>
      <c r="AF42" s="60" t="s">
        <v>83</v>
      </c>
      <c r="AG42" s="159">
        <v>30.677966000000001</v>
      </c>
      <c r="AH42" s="60">
        <v>13.6</v>
      </c>
      <c r="AI42" s="60">
        <v>18.632000000000001</v>
      </c>
      <c r="AJ42" s="60">
        <v>18.904</v>
      </c>
      <c r="AK42" s="60">
        <v>20.128</v>
      </c>
      <c r="AL42" s="60">
        <f>(AI42*6+AJ42*3+AK42*3)/12</f>
        <v>19.074000000000002</v>
      </c>
      <c r="AM42" s="60">
        <f>AG42*AL42/100*23</f>
        <v>134.58485040132001</v>
      </c>
      <c r="AN42" s="60"/>
      <c r="AO42" s="60"/>
      <c r="AP42" s="60"/>
      <c r="AQ42" s="60">
        <f>AO42*AP42*AG42</f>
        <v>0</v>
      </c>
      <c r="AR42" s="60">
        <f>AM42+AQ42</f>
        <v>134.58485040132001</v>
      </c>
      <c r="AS42" s="60" t="s">
        <v>172</v>
      </c>
      <c r="AT42" s="60">
        <v>63.56</v>
      </c>
      <c r="AU42" s="60">
        <v>3.2</v>
      </c>
      <c r="AV42" s="60">
        <f>AL42/100*23*AU42/100*AT42</f>
        <v>8.9228477184000017</v>
      </c>
      <c r="AW42" s="60">
        <v>50000</v>
      </c>
      <c r="AX42" s="80">
        <v>23</v>
      </c>
      <c r="AY42" s="60" t="s">
        <v>472</v>
      </c>
      <c r="AZ42" s="60">
        <v>5850</v>
      </c>
      <c r="BA42" s="80">
        <v>6</v>
      </c>
      <c r="BB42" s="60">
        <f>AZ42*BA42/AW42*AX42</f>
        <v>16.146000000000001</v>
      </c>
      <c r="BC42" s="60">
        <v>37.44</v>
      </c>
      <c r="BD42" s="60">
        <v>34.82</v>
      </c>
      <c r="BE42" s="60">
        <f>1772949/2/1973</f>
        <v>449.30283831728332</v>
      </c>
      <c r="BF42" s="60">
        <v>6.5</v>
      </c>
      <c r="BG42" s="60"/>
      <c r="BH42" s="80">
        <f>AB42+AC42+AD42+AR42+AV42+BB42+BC42+BD42+BE42+BF42+BG42</f>
        <v>1005.8539379324441</v>
      </c>
      <c r="BI42" s="60">
        <f>AB42*0.2</f>
        <v>44.650863367781156</v>
      </c>
      <c r="BJ42" s="80">
        <f>BH42+AE42+BI42</f>
        <v>1069.8609505701584</v>
      </c>
      <c r="BK42" s="102">
        <f>BH42-AD42</f>
        <v>978.39365696125867</v>
      </c>
      <c r="BL42" s="43"/>
      <c r="BM42" s="43"/>
      <c r="BN42" s="33"/>
      <c r="BR42" s="127"/>
    </row>
    <row r="43" spans="1:70" ht="81" customHeight="1" x14ac:dyDescent="0.25">
      <c r="A43" s="58" t="s">
        <v>116</v>
      </c>
      <c r="B43" s="161" t="s">
        <v>470</v>
      </c>
      <c r="C43" s="161" t="s">
        <v>473</v>
      </c>
      <c r="D43" s="156" t="s">
        <v>311</v>
      </c>
      <c r="E43" s="156">
        <v>4</v>
      </c>
      <c r="F43" s="156">
        <v>71.16</v>
      </c>
      <c r="G43" s="156">
        <v>0</v>
      </c>
      <c r="H43" s="101">
        <f>F43*G43/100</f>
        <v>0</v>
      </c>
      <c r="I43" s="156"/>
      <c r="J43" s="156">
        <f>F43*I43/100</f>
        <v>0</v>
      </c>
      <c r="K43" s="156"/>
      <c r="L43" s="156">
        <f>F43*K43/100</f>
        <v>0</v>
      </c>
      <c r="M43" s="156"/>
      <c r="N43" s="156">
        <v>25</v>
      </c>
      <c r="O43" s="156">
        <f>F43*N43/100</f>
        <v>17.79</v>
      </c>
      <c r="P43" s="156"/>
      <c r="Q43" s="156"/>
      <c r="R43" s="156">
        <v>40</v>
      </c>
      <c r="S43" s="156">
        <f>(F43+H43+J43+L43+M43+O43+Q43)*R43/100</f>
        <v>35.58</v>
      </c>
      <c r="T43" s="156">
        <v>30</v>
      </c>
      <c r="U43" s="156">
        <f>(F43+H43+J43+L43+M43+O43+Q43+S43)*30/100</f>
        <v>37.358999999999995</v>
      </c>
      <c r="V43" s="156">
        <v>30</v>
      </c>
      <c r="W43" s="156">
        <f>U43</f>
        <v>37.358999999999995</v>
      </c>
      <c r="X43" s="60">
        <f>F43+H43+J43+L43+M43+O43+Q43+S43+U43+W43</f>
        <v>199.24799999999999</v>
      </c>
      <c r="Y43" s="60">
        <f>3000/1974</f>
        <v>1.5197568389057752</v>
      </c>
      <c r="Z43" s="60">
        <f>(X43-S43*1.6)*0.06</f>
        <v>8.5391999999999992</v>
      </c>
      <c r="AA43" s="60">
        <f>X43*0.07</f>
        <v>13.947360000000002</v>
      </c>
      <c r="AB43" s="60">
        <f>X43+Y43+Z43+AA43</f>
        <v>223.25431683890577</v>
      </c>
      <c r="AC43" s="60">
        <f>AB43*0.302</f>
        <v>67.422803685349535</v>
      </c>
      <c r="AD43" s="60">
        <f t="shared" si="12"/>
        <v>27.460280971185409</v>
      </c>
      <c r="AE43" s="60">
        <f t="shared" si="13"/>
        <v>19.35614926993313</v>
      </c>
      <c r="AF43" s="60" t="s">
        <v>83</v>
      </c>
      <c r="AG43" s="159">
        <v>30.677966000000001</v>
      </c>
      <c r="AH43" s="60">
        <v>13.6</v>
      </c>
      <c r="AI43" s="60">
        <v>18.632000000000001</v>
      </c>
      <c r="AJ43" s="60">
        <v>18.904</v>
      </c>
      <c r="AK43" s="60">
        <v>20.128</v>
      </c>
      <c r="AL43" s="60">
        <f>(AI43*6+AJ43*3+AK43*3)/12</f>
        <v>19.074000000000002</v>
      </c>
      <c r="AM43" s="60">
        <f>AG43*AL43/100*23</f>
        <v>134.58485040132001</v>
      </c>
      <c r="AN43" s="60"/>
      <c r="AO43" s="60"/>
      <c r="AP43" s="60"/>
      <c r="AQ43" s="60">
        <f>AO43*AP43*AG43</f>
        <v>0</v>
      </c>
      <c r="AR43" s="60">
        <f>AM43+AQ43</f>
        <v>134.58485040132001</v>
      </c>
      <c r="AS43" s="60" t="s">
        <v>172</v>
      </c>
      <c r="AT43" s="60">
        <v>63.56</v>
      </c>
      <c r="AU43" s="60">
        <v>3.2</v>
      </c>
      <c r="AV43" s="60">
        <f>AL43/100*23*AU43/100*AT43</f>
        <v>8.9228477184000017</v>
      </c>
      <c r="AW43" s="60">
        <v>50000</v>
      </c>
      <c r="AX43" s="80">
        <v>23</v>
      </c>
      <c r="AY43" s="60" t="s">
        <v>472</v>
      </c>
      <c r="AZ43" s="60">
        <v>5850</v>
      </c>
      <c r="BA43" s="80">
        <v>6</v>
      </c>
      <c r="BB43" s="60">
        <f>AZ43*BA43/AW43*AX43</f>
        <v>16.146000000000001</v>
      </c>
      <c r="BC43" s="60">
        <v>37.44</v>
      </c>
      <c r="BD43" s="60">
        <v>34.82</v>
      </c>
      <c r="BE43" s="60">
        <f>1772949/2/1973</f>
        <v>449.30283831728332</v>
      </c>
      <c r="BF43" s="60">
        <v>6.5</v>
      </c>
      <c r="BG43" s="60"/>
      <c r="BH43" s="80">
        <f>AB43+AC43+AD43+AR43+AV43+BB43+BC43+BD43+BE43+BF43+BG43</f>
        <v>1005.8539379324441</v>
      </c>
      <c r="BI43" s="60">
        <f>AB43*0.2</f>
        <v>44.650863367781156</v>
      </c>
      <c r="BJ43" s="80">
        <f>BH43+AE43+BI43</f>
        <v>1069.8609505701584</v>
      </c>
      <c r="BK43" s="102">
        <f>BH43-AD43</f>
        <v>978.39365696125867</v>
      </c>
      <c r="BL43" s="43"/>
      <c r="BM43" s="43"/>
      <c r="BN43" s="33"/>
      <c r="BR43" s="127"/>
    </row>
    <row r="44" spans="1:70" ht="78.75" x14ac:dyDescent="0.25">
      <c r="A44" s="58" t="s">
        <v>117</v>
      </c>
      <c r="B44" s="156" t="s">
        <v>36</v>
      </c>
      <c r="C44" s="156" t="s">
        <v>1</v>
      </c>
      <c r="D44" s="156" t="s">
        <v>311</v>
      </c>
      <c r="E44" s="156">
        <v>4</v>
      </c>
      <c r="F44" s="156">
        <v>63.25</v>
      </c>
      <c r="G44" s="156">
        <v>0</v>
      </c>
      <c r="H44" s="101">
        <f t="shared" si="43"/>
        <v>0</v>
      </c>
      <c r="I44" s="156"/>
      <c r="J44" s="156">
        <f t="shared" si="44"/>
        <v>0</v>
      </c>
      <c r="K44" s="156"/>
      <c r="L44" s="156">
        <f t="shared" si="45"/>
        <v>0</v>
      </c>
      <c r="M44" s="156"/>
      <c r="N44" s="156">
        <v>25</v>
      </c>
      <c r="O44" s="156">
        <f t="shared" si="46"/>
        <v>15.8125</v>
      </c>
      <c r="P44" s="156"/>
      <c r="Q44" s="156"/>
      <c r="R44" s="156">
        <v>40</v>
      </c>
      <c r="S44" s="156">
        <f t="shared" si="47"/>
        <v>31.625</v>
      </c>
      <c r="T44" s="156">
        <v>30</v>
      </c>
      <c r="U44" s="156">
        <f t="shared" si="48"/>
        <v>33.206249999999997</v>
      </c>
      <c r="V44" s="156">
        <v>30</v>
      </c>
      <c r="W44" s="156">
        <f t="shared" si="49"/>
        <v>33.206249999999997</v>
      </c>
      <c r="X44" s="60">
        <f t="shared" si="50"/>
        <v>177.10000000000002</v>
      </c>
      <c r="Y44" s="60">
        <f t="shared" si="8"/>
        <v>1.5228426395939085</v>
      </c>
      <c r="Z44" s="60">
        <f t="shared" si="9"/>
        <v>10.626000000000001</v>
      </c>
      <c r="AA44" s="60">
        <f t="shared" si="10"/>
        <v>12.397000000000002</v>
      </c>
      <c r="AB44" s="60">
        <f t="shared" si="11"/>
        <v>201.64584263959392</v>
      </c>
      <c r="AC44" s="60">
        <f t="shared" si="34"/>
        <v>60.897044477157365</v>
      </c>
      <c r="AD44" s="60">
        <f t="shared" si="12"/>
        <v>24.802438644670051</v>
      </c>
      <c r="AE44" s="60">
        <f t="shared" si="13"/>
        <v>17.482694556852792</v>
      </c>
      <c r="AF44" s="60" t="s">
        <v>85</v>
      </c>
      <c r="AG44" s="160">
        <v>29.83</v>
      </c>
      <c r="AH44" s="60">
        <v>16.7</v>
      </c>
      <c r="AI44" s="103">
        <v>21.71</v>
      </c>
      <c r="AJ44" s="60">
        <v>23.213000000000001</v>
      </c>
      <c r="AK44" s="103">
        <v>24.716000000000001</v>
      </c>
      <c r="AL44" s="60">
        <f t="shared" si="14"/>
        <v>22.837250000000001</v>
      </c>
      <c r="AM44" s="60">
        <f t="shared" si="40"/>
        <v>156.68408852499999</v>
      </c>
      <c r="AN44" s="60"/>
      <c r="AO44" s="60"/>
      <c r="AP44" s="60"/>
      <c r="AQ44" s="60">
        <f t="shared" si="51"/>
        <v>0</v>
      </c>
      <c r="AR44" s="60">
        <f t="shared" si="52"/>
        <v>156.68408852499999</v>
      </c>
      <c r="AS44" s="60" t="s">
        <v>174</v>
      </c>
      <c r="AT44" s="60">
        <v>49.93</v>
      </c>
      <c r="AU44" s="60">
        <v>2.64</v>
      </c>
      <c r="AV44" s="60">
        <f t="shared" si="42"/>
        <v>6.9236823552600004</v>
      </c>
      <c r="AW44" s="60">
        <v>33000</v>
      </c>
      <c r="AX44" s="60">
        <v>23</v>
      </c>
      <c r="AY44" s="60" t="s">
        <v>188</v>
      </c>
      <c r="AZ44" s="60">
        <v>2279.66</v>
      </c>
      <c r="BA44" s="80">
        <v>4</v>
      </c>
      <c r="BB44" s="60">
        <f t="shared" si="41"/>
        <v>6.3554157575757566</v>
      </c>
      <c r="BC44" s="60">
        <v>37.44</v>
      </c>
      <c r="BD44" s="60">
        <v>34.82</v>
      </c>
      <c r="BE44" s="60"/>
      <c r="BF44" s="60">
        <v>6.5</v>
      </c>
      <c r="BG44" s="60"/>
      <c r="BH44" s="80">
        <f t="shared" si="19"/>
        <v>536.06851239925709</v>
      </c>
      <c r="BI44" s="60">
        <f t="shared" si="20"/>
        <v>40.329168527918789</v>
      </c>
      <c r="BJ44" s="80">
        <f t="shared" ref="BJ44:BJ59" si="53">BH44+AE44+BI44</f>
        <v>593.88037548402872</v>
      </c>
      <c r="BK44" s="102"/>
      <c r="BL44" s="43"/>
      <c r="BM44" s="43"/>
      <c r="BN44" s="33"/>
      <c r="BR44" s="127"/>
    </row>
    <row r="45" spans="1:70" ht="63" x14ac:dyDescent="0.25">
      <c r="A45" s="58" t="s">
        <v>118</v>
      </c>
      <c r="B45" s="156" t="s">
        <v>451</v>
      </c>
      <c r="C45" s="156" t="s">
        <v>2</v>
      </c>
      <c r="D45" s="156" t="s">
        <v>311</v>
      </c>
      <c r="E45" s="156">
        <v>4</v>
      </c>
      <c r="F45" s="156">
        <v>63.25</v>
      </c>
      <c r="G45" s="156">
        <v>0</v>
      </c>
      <c r="H45" s="101">
        <f>F45*G45/100</f>
        <v>0</v>
      </c>
      <c r="I45" s="156"/>
      <c r="J45" s="156">
        <f>F45*I45/100</f>
        <v>0</v>
      </c>
      <c r="K45" s="156"/>
      <c r="L45" s="156">
        <f>F45*K45/100</f>
        <v>0</v>
      </c>
      <c r="M45" s="156">
        <v>0</v>
      </c>
      <c r="N45" s="156">
        <v>25</v>
      </c>
      <c r="O45" s="156">
        <f>F45*N45/100</f>
        <v>15.8125</v>
      </c>
      <c r="P45" s="156"/>
      <c r="Q45" s="156"/>
      <c r="R45" s="156">
        <v>40</v>
      </c>
      <c r="S45" s="156">
        <f>(F45+H45+J45+L45+M45+O45+Q45)*R45/100</f>
        <v>31.625</v>
      </c>
      <c r="T45" s="156">
        <v>30</v>
      </c>
      <c r="U45" s="156">
        <f>(F45+H45+J45+L45+M45+O45+Q45+S45)*30/100</f>
        <v>33.206249999999997</v>
      </c>
      <c r="V45" s="156">
        <v>30</v>
      </c>
      <c r="W45" s="156">
        <f>U45</f>
        <v>33.206249999999997</v>
      </c>
      <c r="X45" s="60">
        <f>F45+H45+J45+L45+M45+O45+Q45+S45+U45+W45</f>
        <v>177.10000000000002</v>
      </c>
      <c r="Y45" s="60">
        <f t="shared" ref="Y45:Y72" si="54">3000/1970</f>
        <v>1.5228426395939085</v>
      </c>
      <c r="Z45" s="60">
        <f>X45*0.06</f>
        <v>10.626000000000001</v>
      </c>
      <c r="AA45" s="60">
        <f>X45*0.07</f>
        <v>12.397000000000002</v>
      </c>
      <c r="AB45" s="60">
        <f>X45+Y45+Z45+AA45</f>
        <v>201.64584263959392</v>
      </c>
      <c r="AC45" s="60">
        <f t="shared" si="34"/>
        <v>60.897044477157365</v>
      </c>
      <c r="AD45" s="60">
        <f t="shared" si="12"/>
        <v>24.802438644670051</v>
      </c>
      <c r="AE45" s="60">
        <f t="shared" si="13"/>
        <v>17.482694556852792</v>
      </c>
      <c r="AF45" s="60" t="s">
        <v>85</v>
      </c>
      <c r="AG45" s="160">
        <v>29.83</v>
      </c>
      <c r="AH45" s="60">
        <v>35</v>
      </c>
      <c r="AI45" s="60">
        <v>45.5</v>
      </c>
      <c r="AJ45" s="60">
        <v>48.650000000000006</v>
      </c>
      <c r="AK45" s="60">
        <v>51.8</v>
      </c>
      <c r="AL45" s="60">
        <f t="shared" si="14"/>
        <v>47.862500000000004</v>
      </c>
      <c r="AM45" s="60">
        <f>AG45*AL45/100*23</f>
        <v>328.37982625000006</v>
      </c>
      <c r="AN45" s="60" t="s">
        <v>170</v>
      </c>
      <c r="AO45" s="60">
        <v>8</v>
      </c>
      <c r="AP45" s="60">
        <v>0.1</v>
      </c>
      <c r="AQ45" s="60">
        <f>AG45*AO45*AP45</f>
        <v>23.864000000000001</v>
      </c>
      <c r="AR45" s="60">
        <f>AM45+AQ45</f>
        <v>352.24382625000004</v>
      </c>
      <c r="AS45" s="60" t="s">
        <v>174</v>
      </c>
      <c r="AT45" s="60">
        <v>49.93</v>
      </c>
      <c r="AU45" s="60">
        <v>2.64</v>
      </c>
      <c r="AV45" s="60">
        <f>AL45/100*23*AU45/100*AT45</f>
        <v>14.510711523000001</v>
      </c>
      <c r="AW45" s="60">
        <v>50000</v>
      </c>
      <c r="AX45" s="60">
        <v>23</v>
      </c>
      <c r="AY45" s="60" t="s">
        <v>181</v>
      </c>
      <c r="AZ45" s="60">
        <v>5788.14</v>
      </c>
      <c r="BA45" s="80">
        <v>6</v>
      </c>
      <c r="BB45" s="60">
        <f>AZ45*BA45/AW45*AX45</f>
        <v>15.975266400000002</v>
      </c>
      <c r="BC45" s="60">
        <v>37.44</v>
      </c>
      <c r="BD45" s="60">
        <v>34.82</v>
      </c>
      <c r="BE45" s="60"/>
      <c r="BF45" s="60">
        <v>6.5</v>
      </c>
      <c r="BG45" s="60"/>
      <c r="BH45" s="80">
        <f>AB45+AC45+AD45+AR45+AV45+BB45+BC45+BD45+BE45+BF45</f>
        <v>748.83512993442162</v>
      </c>
      <c r="BI45" s="60">
        <f t="shared" si="20"/>
        <v>40.329168527918789</v>
      </c>
      <c r="BJ45" s="80">
        <f>BH45+AE45+BI45</f>
        <v>806.64699301919325</v>
      </c>
      <c r="BK45" s="102">
        <f>BH45-AD45</f>
        <v>724.0326912897516</v>
      </c>
      <c r="BL45" s="43"/>
      <c r="BM45" s="43"/>
      <c r="BN45" s="33"/>
      <c r="BR45" s="127"/>
    </row>
    <row r="46" spans="1:70" ht="78.75" x14ac:dyDescent="0.25">
      <c r="A46" s="151">
        <v>32</v>
      </c>
      <c r="B46" s="156" t="s">
        <v>452</v>
      </c>
      <c r="C46" s="156" t="s">
        <v>38</v>
      </c>
      <c r="D46" s="156" t="s">
        <v>312</v>
      </c>
      <c r="E46" s="156">
        <v>4</v>
      </c>
      <c r="F46" s="156">
        <v>63.25</v>
      </c>
      <c r="G46" s="156">
        <v>4</v>
      </c>
      <c r="H46" s="101">
        <f>F46*G46/100</f>
        <v>2.5299999999999998</v>
      </c>
      <c r="I46" s="156"/>
      <c r="J46" s="156">
        <f>F46*I46/100</f>
        <v>0</v>
      </c>
      <c r="K46" s="156">
        <v>40</v>
      </c>
      <c r="L46" s="156">
        <f>F46*K46/100</f>
        <v>25.3</v>
      </c>
      <c r="M46" s="156">
        <v>2.65</v>
      </c>
      <c r="N46" s="156">
        <v>25</v>
      </c>
      <c r="O46" s="156">
        <f>F46*N46/100</f>
        <v>15.8125</v>
      </c>
      <c r="P46" s="156"/>
      <c r="Q46" s="156"/>
      <c r="R46" s="156">
        <v>40</v>
      </c>
      <c r="S46" s="156">
        <f>(F46+H46+J46+L46+M46+O46+Q46)*R46/100</f>
        <v>43.817</v>
      </c>
      <c r="T46" s="156">
        <v>30</v>
      </c>
      <c r="U46" s="156">
        <f>(F46+H46+J46+L46+M46+O46+Q46+S46)*30/100</f>
        <v>46.007849999999998</v>
      </c>
      <c r="V46" s="156">
        <v>30</v>
      </c>
      <c r="W46" s="156">
        <f>U46</f>
        <v>46.007849999999998</v>
      </c>
      <c r="X46" s="60">
        <f>F46+H46+J46+L46+M46+O46+Q46+S46+U46+W46</f>
        <v>245.37519999999998</v>
      </c>
      <c r="Y46" s="60">
        <f t="shared" si="54"/>
        <v>1.5228426395939085</v>
      </c>
      <c r="Z46" s="60">
        <f>X46*0.06</f>
        <v>14.722511999999998</v>
      </c>
      <c r="AA46" s="60">
        <f>X46*0.07</f>
        <v>17.176264</v>
      </c>
      <c r="AB46" s="60">
        <f>X46+Y46+Z46+AA46</f>
        <v>278.79681863959388</v>
      </c>
      <c r="AC46" s="60">
        <f t="shared" si="34"/>
        <v>84.196639229157356</v>
      </c>
      <c r="AD46" s="60">
        <f t="shared" si="12"/>
        <v>34.292008692670045</v>
      </c>
      <c r="AE46" s="60">
        <f t="shared" si="13"/>
        <v>24.171684176052793</v>
      </c>
      <c r="AF46" s="60" t="s">
        <v>85</v>
      </c>
      <c r="AG46" s="160">
        <v>29.83</v>
      </c>
      <c r="AH46" s="60">
        <v>35</v>
      </c>
      <c r="AI46" s="60">
        <v>43.75</v>
      </c>
      <c r="AJ46" s="60">
        <v>46.900000000000006</v>
      </c>
      <c r="AK46" s="60">
        <v>50.05</v>
      </c>
      <c r="AL46" s="60">
        <f t="shared" si="14"/>
        <v>46.112500000000004</v>
      </c>
      <c r="AM46" s="60">
        <f>AG46*AL46/100*23</f>
        <v>316.37325125000001</v>
      </c>
      <c r="AN46" s="60" t="s">
        <v>170</v>
      </c>
      <c r="AO46" s="60">
        <v>8</v>
      </c>
      <c r="AP46" s="60">
        <v>0.1</v>
      </c>
      <c r="AQ46" s="60">
        <f>AG46*AO46*AP46</f>
        <v>23.864000000000001</v>
      </c>
      <c r="AR46" s="60">
        <f>AM46+AQ46</f>
        <v>340.23725124999999</v>
      </c>
      <c r="AS46" s="60" t="s">
        <v>174</v>
      </c>
      <c r="AT46" s="60">
        <v>49.93</v>
      </c>
      <c r="AU46" s="60">
        <v>2</v>
      </c>
      <c r="AV46" s="60">
        <f>AL46/100*23*AU46/100*AT46</f>
        <v>10.591026775000001</v>
      </c>
      <c r="AW46" s="60">
        <v>50000</v>
      </c>
      <c r="AX46" s="60">
        <v>23</v>
      </c>
      <c r="AY46" s="60" t="s">
        <v>181</v>
      </c>
      <c r="AZ46" s="60">
        <v>5788.14</v>
      </c>
      <c r="BA46" s="80">
        <v>6</v>
      </c>
      <c r="BB46" s="60">
        <f>AZ46*BA46/AW46*AX46</f>
        <v>15.975266400000002</v>
      </c>
      <c r="BC46" s="60">
        <v>37.44</v>
      </c>
      <c r="BD46" s="60">
        <v>34.82</v>
      </c>
      <c r="BE46" s="60">
        <v>44.88</v>
      </c>
      <c r="BF46" s="60">
        <v>6.5</v>
      </c>
      <c r="BG46" s="60"/>
      <c r="BH46" s="80">
        <f>AB46+AC46+AD46+AR46+AV46+BB46+BC46+BD46+BE46+BF46</f>
        <v>887.72901098642137</v>
      </c>
      <c r="BI46" s="60">
        <f t="shared" si="20"/>
        <v>55.759363727918782</v>
      </c>
      <c r="BJ46" s="80">
        <f>BH46+AE46+BI46</f>
        <v>967.66005889039297</v>
      </c>
      <c r="BK46" s="102">
        <f>BH46-AD46</f>
        <v>853.43700229375133</v>
      </c>
      <c r="BL46" s="43"/>
      <c r="BM46" s="43"/>
      <c r="BN46" s="33"/>
      <c r="BR46" s="127"/>
    </row>
    <row r="47" spans="1:70" ht="54" customHeight="1" x14ac:dyDescent="0.25">
      <c r="A47" s="58" t="s">
        <v>120</v>
      </c>
      <c r="B47" s="156" t="s">
        <v>453</v>
      </c>
      <c r="C47" s="156" t="s">
        <v>39</v>
      </c>
      <c r="D47" s="156" t="s">
        <v>311</v>
      </c>
      <c r="E47" s="156">
        <v>4</v>
      </c>
      <c r="F47" s="156">
        <v>63.25</v>
      </c>
      <c r="G47" s="156">
        <v>6</v>
      </c>
      <c r="H47" s="101">
        <f>F47*G47/100</f>
        <v>3.7949999999999999</v>
      </c>
      <c r="I47" s="156"/>
      <c r="J47" s="156">
        <f>F47*I47/100</f>
        <v>0</v>
      </c>
      <c r="K47" s="156"/>
      <c r="L47" s="156">
        <f>F47*K47/100</f>
        <v>0</v>
      </c>
      <c r="M47" s="156"/>
      <c r="N47" s="156">
        <v>25</v>
      </c>
      <c r="O47" s="156">
        <f>F47*N47/100</f>
        <v>15.8125</v>
      </c>
      <c r="P47" s="156"/>
      <c r="Q47" s="156"/>
      <c r="R47" s="156">
        <v>40</v>
      </c>
      <c r="S47" s="156">
        <f>(F47+H47+J47+L47+M47+O47+Q47)*R47/100</f>
        <v>33.143000000000001</v>
      </c>
      <c r="T47" s="156">
        <v>30</v>
      </c>
      <c r="U47" s="156">
        <f>(F47+H47+J47+L47+M47+O47+Q47+S47)*30/100</f>
        <v>34.800150000000002</v>
      </c>
      <c r="V47" s="156">
        <v>30</v>
      </c>
      <c r="W47" s="156">
        <f>U47</f>
        <v>34.800150000000002</v>
      </c>
      <c r="X47" s="60">
        <f>F47+H47+J47+L47+M47+O47+Q47+S47+U47+W47</f>
        <v>185.60080000000002</v>
      </c>
      <c r="Y47" s="60">
        <f t="shared" si="54"/>
        <v>1.5228426395939085</v>
      </c>
      <c r="Z47" s="60">
        <f>X47*0.06</f>
        <v>11.136048000000001</v>
      </c>
      <c r="AA47" s="60">
        <f>X47*0.07</f>
        <v>12.992056000000003</v>
      </c>
      <c r="AB47" s="60">
        <f>X47+Y47+Z47+AA47</f>
        <v>211.2517466395939</v>
      </c>
      <c r="AC47" s="60">
        <f t="shared" si="34"/>
        <v>63.798027485157355</v>
      </c>
      <c r="AD47" s="60">
        <f t="shared" si="12"/>
        <v>25.983964836670051</v>
      </c>
      <c r="AE47" s="60">
        <f t="shared" si="13"/>
        <v>18.315526433652792</v>
      </c>
      <c r="AF47" s="60" t="s">
        <v>85</v>
      </c>
      <c r="AG47" s="160">
        <v>29.83</v>
      </c>
      <c r="AH47" s="60">
        <v>39.5</v>
      </c>
      <c r="AI47" s="60">
        <v>49.375</v>
      </c>
      <c r="AJ47" s="60">
        <v>52.93</v>
      </c>
      <c r="AK47" s="60">
        <v>56.484999999999999</v>
      </c>
      <c r="AL47" s="60">
        <f t="shared" si="14"/>
        <v>52.041249999999991</v>
      </c>
      <c r="AM47" s="60">
        <f>AG47*AL47/100*23</f>
        <v>357.0498121249999</v>
      </c>
      <c r="AN47" s="60"/>
      <c r="AO47" s="60"/>
      <c r="AP47" s="60"/>
      <c r="AQ47" s="60">
        <f>AG47*AO47*AP47</f>
        <v>0</v>
      </c>
      <c r="AR47" s="60">
        <f>AM47+AQ47</f>
        <v>357.0498121249999</v>
      </c>
      <c r="AS47" s="60" t="s">
        <v>174</v>
      </c>
      <c r="AT47" s="60">
        <v>49.93</v>
      </c>
      <c r="AU47" s="60">
        <v>2</v>
      </c>
      <c r="AV47" s="60">
        <f>AL47/100*23*AU47/100*AT47</f>
        <v>11.952730217499999</v>
      </c>
      <c r="AW47" s="60">
        <v>50000</v>
      </c>
      <c r="AX47" s="60">
        <v>23</v>
      </c>
      <c r="AY47" s="60" t="s">
        <v>181</v>
      </c>
      <c r="AZ47" s="60">
        <v>5788.14</v>
      </c>
      <c r="BA47" s="80">
        <v>6</v>
      </c>
      <c r="BB47" s="60">
        <f>AZ47*BA47/AW47*AX47</f>
        <v>15.975266400000002</v>
      </c>
      <c r="BC47" s="60">
        <v>37.44</v>
      </c>
      <c r="BD47" s="60">
        <v>34.82</v>
      </c>
      <c r="BE47" s="60">
        <v>66.02</v>
      </c>
      <c r="BF47" s="60">
        <v>6.5</v>
      </c>
      <c r="BG47" s="60"/>
      <c r="BH47" s="80">
        <f>AB47+AC47+AD47+AR47+AV47+BB47+BC47+BD47+BE47+BF47</f>
        <v>830.79154770392131</v>
      </c>
      <c r="BI47" s="60">
        <f t="shared" si="20"/>
        <v>42.250349327918784</v>
      </c>
      <c r="BJ47" s="80">
        <f>BH47+AE47+BI47</f>
        <v>891.35742346549284</v>
      </c>
      <c r="BK47" s="102">
        <f>BH47-AD47</f>
        <v>804.80758286725131</v>
      </c>
      <c r="BL47" s="43"/>
      <c r="BM47" s="43"/>
      <c r="BN47" s="33"/>
      <c r="BR47" s="127"/>
    </row>
    <row r="48" spans="1:70" ht="61.5" customHeight="1" x14ac:dyDescent="0.25">
      <c r="A48" s="37" t="s">
        <v>446</v>
      </c>
      <c r="B48" s="78" t="s">
        <v>447</v>
      </c>
      <c r="C48" s="78" t="s">
        <v>431</v>
      </c>
      <c r="D48" s="156" t="s">
        <v>432</v>
      </c>
      <c r="E48" s="156">
        <v>4</v>
      </c>
      <c r="F48" s="156">
        <v>63.25</v>
      </c>
      <c r="G48" s="156">
        <v>4</v>
      </c>
      <c r="H48" s="101">
        <f>F48*G48/100</f>
        <v>2.5299999999999998</v>
      </c>
      <c r="I48" s="156"/>
      <c r="J48" s="156">
        <f>F48*I48/100</f>
        <v>0</v>
      </c>
      <c r="K48" s="156">
        <v>0</v>
      </c>
      <c r="L48" s="156">
        <f>F48*K48/100</f>
        <v>0</v>
      </c>
      <c r="M48" s="156">
        <v>2.65</v>
      </c>
      <c r="N48" s="156">
        <v>25</v>
      </c>
      <c r="O48" s="156">
        <f>F48*N48/100</f>
        <v>15.8125</v>
      </c>
      <c r="P48" s="156"/>
      <c r="Q48" s="156"/>
      <c r="R48" s="156">
        <v>40</v>
      </c>
      <c r="S48" s="156">
        <f>(F48+H48+J48+L48+M48+O48+Q48)*R48/100</f>
        <v>33.697000000000003</v>
      </c>
      <c r="T48" s="156">
        <v>30</v>
      </c>
      <c r="U48" s="156">
        <f>(F48+H48+J48+L48+M48+O48+Q48+S48)*30/100</f>
        <v>35.381850000000007</v>
      </c>
      <c r="V48" s="156">
        <v>30</v>
      </c>
      <c r="W48" s="156">
        <f>U48</f>
        <v>35.381850000000007</v>
      </c>
      <c r="X48" s="60">
        <f>F48+H48+J48+L48+M48+O48+Q48+S48+U48+W48</f>
        <v>188.70320000000004</v>
      </c>
      <c r="Y48" s="60">
        <f t="shared" si="54"/>
        <v>1.5228426395939085</v>
      </c>
      <c r="Z48" s="60">
        <f>X48*0.06</f>
        <v>11.322192000000001</v>
      </c>
      <c r="AA48" s="60">
        <f>X48*0.07</f>
        <v>13.209224000000004</v>
      </c>
      <c r="AB48" s="60">
        <f>X48+Y48+Z48+AA48</f>
        <v>214.75745863959395</v>
      </c>
      <c r="AC48" s="60">
        <f>AB48*0.302</f>
        <v>64.856752509157374</v>
      </c>
      <c r="AD48" s="60">
        <f t="shared" si="12"/>
        <v>26.415167412670055</v>
      </c>
      <c r="AE48" s="60">
        <f t="shared" si="13"/>
        <v>18.619471664052796</v>
      </c>
      <c r="AF48" s="60" t="s">
        <v>85</v>
      </c>
      <c r="AG48" s="160">
        <v>29.83</v>
      </c>
      <c r="AH48" s="60">
        <v>35</v>
      </c>
      <c r="AI48" s="60">
        <v>45.5</v>
      </c>
      <c r="AJ48" s="60">
        <v>48.650000000000006</v>
      </c>
      <c r="AK48" s="60">
        <v>51.8</v>
      </c>
      <c r="AL48" s="60">
        <f>(AI48*6+AJ48*3+AK48*3)/12</f>
        <v>47.862500000000004</v>
      </c>
      <c r="AM48" s="60">
        <f>AG48*AL48/100*23</f>
        <v>328.37982625000006</v>
      </c>
      <c r="AN48" s="60" t="s">
        <v>170</v>
      </c>
      <c r="AO48" s="60">
        <v>8</v>
      </c>
      <c r="AP48" s="60">
        <v>0.1</v>
      </c>
      <c r="AQ48" s="60">
        <f>AG48*AO48*AP48</f>
        <v>23.864000000000001</v>
      </c>
      <c r="AR48" s="60">
        <f>AM48+AQ48</f>
        <v>352.24382625000004</v>
      </c>
      <c r="AS48" s="60" t="s">
        <v>174</v>
      </c>
      <c r="AT48" s="60">
        <v>49.93</v>
      </c>
      <c r="AU48" s="60">
        <v>2</v>
      </c>
      <c r="AV48" s="60">
        <f>AL48/100*23*AU48/100*AT48</f>
        <v>10.992963275000001</v>
      </c>
      <c r="AW48" s="60">
        <v>50000</v>
      </c>
      <c r="AX48" s="60">
        <v>23</v>
      </c>
      <c r="AY48" s="60" t="s">
        <v>181</v>
      </c>
      <c r="AZ48" s="60">
        <v>5788.14</v>
      </c>
      <c r="BA48" s="80">
        <v>6</v>
      </c>
      <c r="BB48" s="60">
        <f>AZ48*BA48/AW48*AX48</f>
        <v>15.975266400000002</v>
      </c>
      <c r="BC48" s="60">
        <v>37.44</v>
      </c>
      <c r="BD48" s="60">
        <v>34.82</v>
      </c>
      <c r="BE48" s="60"/>
      <c r="BF48" s="60">
        <v>6.5</v>
      </c>
      <c r="BG48" s="60"/>
      <c r="BH48" s="80">
        <f>AB48+AC48+AD48+AR48+AV48+BB48+BC48+BD48+BE48+BF48</f>
        <v>764.00143448642154</v>
      </c>
      <c r="BI48" s="60">
        <f>AB48*0.2</f>
        <v>42.951491727918793</v>
      </c>
      <c r="BJ48" s="80">
        <f>BH48+AE48+BI48</f>
        <v>825.57239787839308</v>
      </c>
      <c r="BK48" s="102">
        <f>BH48-AD48</f>
        <v>737.58626707375151</v>
      </c>
      <c r="BL48" s="43"/>
      <c r="BM48" s="43"/>
      <c r="BN48" s="33"/>
      <c r="BR48" s="127"/>
    </row>
    <row r="49" spans="1:70" ht="63" x14ac:dyDescent="0.25">
      <c r="A49" s="37" t="s">
        <v>436</v>
      </c>
      <c r="B49" s="156" t="s">
        <v>245</v>
      </c>
      <c r="C49" s="156" t="s">
        <v>40</v>
      </c>
      <c r="D49" s="156" t="s">
        <v>311</v>
      </c>
      <c r="E49" s="156">
        <v>5</v>
      </c>
      <c r="F49" s="156">
        <v>71.16</v>
      </c>
      <c r="G49" s="156">
        <v>4</v>
      </c>
      <c r="H49" s="101">
        <f t="shared" ref="H49:H77" si="55">F49*G49/100</f>
        <v>2.8464</v>
      </c>
      <c r="I49" s="156"/>
      <c r="J49" s="156">
        <f t="shared" ref="J49:J77" si="56">F49*I49/100</f>
        <v>0</v>
      </c>
      <c r="K49" s="156"/>
      <c r="L49" s="156">
        <f t="shared" ref="L49:L77" si="57">F49*K49/100</f>
        <v>0</v>
      </c>
      <c r="M49" s="156"/>
      <c r="N49" s="156">
        <v>25</v>
      </c>
      <c r="O49" s="156">
        <f t="shared" ref="O49:O77" si="58">F49*N49/100</f>
        <v>17.79</v>
      </c>
      <c r="P49" s="156"/>
      <c r="Q49" s="156"/>
      <c r="R49" s="156">
        <v>40</v>
      </c>
      <c r="S49" s="156">
        <f t="shared" ref="S49:S77" si="59">(F49+H49+J49+L49+M49+O49+Q49)*R49/100</f>
        <v>36.718560000000004</v>
      </c>
      <c r="T49" s="156">
        <v>30</v>
      </c>
      <c r="U49" s="156">
        <f t="shared" ref="U49:U77" si="60">(F49+H49+J49+L49+M49+O49+Q49+S49)*30/100</f>
        <v>38.554487999999999</v>
      </c>
      <c r="V49" s="156">
        <v>30</v>
      </c>
      <c r="W49" s="156">
        <f t="shared" ref="W49:W77" si="61">U49</f>
        <v>38.554487999999999</v>
      </c>
      <c r="X49" s="60">
        <f t="shared" ref="X49:X77" si="62">F49+H49+J49+L49+M49+O49+Q49+S49+U49+W49</f>
        <v>205.62393599999999</v>
      </c>
      <c r="Y49" s="60">
        <f t="shared" si="54"/>
        <v>1.5228426395939085</v>
      </c>
      <c r="Z49" s="60">
        <f t="shared" ref="Z49:Z67" si="63">X49*0.06</f>
        <v>12.337436159999999</v>
      </c>
      <c r="AA49" s="60">
        <f t="shared" ref="AA49:AA77" si="64">X49*0.07</f>
        <v>14.39367552</v>
      </c>
      <c r="AB49" s="60">
        <f t="shared" ref="AB49:AB77" si="65">X49+Y49+Z49+AA49</f>
        <v>233.87789031959389</v>
      </c>
      <c r="AC49" s="60">
        <f t="shared" si="34"/>
        <v>70.631122876517352</v>
      </c>
      <c r="AD49" s="60">
        <f t="shared" si="12"/>
        <v>28.766980509310049</v>
      </c>
      <c r="AE49" s="60">
        <f t="shared" si="13"/>
        <v>20.277213090708791</v>
      </c>
      <c r="AF49" s="60" t="s">
        <v>83</v>
      </c>
      <c r="AG49" s="159">
        <v>30.677966000000001</v>
      </c>
      <c r="AH49" s="60">
        <v>36.5</v>
      </c>
      <c r="AI49" s="60">
        <v>47.45</v>
      </c>
      <c r="AJ49" s="60">
        <v>50.735000000000007</v>
      </c>
      <c r="AK49" s="60">
        <v>54.02</v>
      </c>
      <c r="AL49" s="60">
        <f t="shared" si="14"/>
        <v>49.913750000000014</v>
      </c>
      <c r="AM49" s="60">
        <f t="shared" ref="AM49:AM55" si="66">AG49*AL49/100*23</f>
        <v>352.18803484947512</v>
      </c>
      <c r="AN49" s="60"/>
      <c r="AO49" s="60"/>
      <c r="AP49" s="60"/>
      <c r="AQ49" s="60">
        <f t="shared" ref="AQ49:AQ67" si="67">AG49*AO49*AP49</f>
        <v>0</v>
      </c>
      <c r="AR49" s="60">
        <f t="shared" ref="AR49:AR77" si="68">AM49+AQ49</f>
        <v>352.18803484947512</v>
      </c>
      <c r="AS49" s="60" t="s">
        <v>172</v>
      </c>
      <c r="AT49" s="60">
        <v>63.56</v>
      </c>
      <c r="AU49" s="60">
        <v>3.36</v>
      </c>
      <c r="AV49" s="60">
        <f t="shared" ref="AV49:AV56" si="69">AL49/100*23*AU49/100*AT49</f>
        <v>24.517218717600006</v>
      </c>
      <c r="AW49" s="60">
        <v>50000</v>
      </c>
      <c r="AX49" s="60">
        <v>23</v>
      </c>
      <c r="AY49" s="60" t="s">
        <v>181</v>
      </c>
      <c r="AZ49" s="60">
        <v>5788.14</v>
      </c>
      <c r="BA49" s="80">
        <v>10</v>
      </c>
      <c r="BB49" s="60">
        <f t="shared" ref="BB49:BB55" si="70">AZ49*BA49/AW49*AX49</f>
        <v>26.625444000000002</v>
      </c>
      <c r="BC49" s="60">
        <v>37.44</v>
      </c>
      <c r="BD49" s="60">
        <v>34.82</v>
      </c>
      <c r="BE49" s="60"/>
      <c r="BF49" s="60">
        <v>6.5</v>
      </c>
      <c r="BG49" s="60"/>
      <c r="BH49" s="80">
        <f t="shared" ref="BH49:BH69" si="71">AB49+AC49+AD49+AR49+AV49+BB49+BC49+BD49+BE49+BF49</f>
        <v>815.3666912724965</v>
      </c>
      <c r="BI49" s="60">
        <f t="shared" si="20"/>
        <v>46.775578063918779</v>
      </c>
      <c r="BJ49" s="80">
        <f t="shared" si="53"/>
        <v>882.41948242712408</v>
      </c>
      <c r="BK49" s="102">
        <f t="shared" ref="BK49:BK59" si="72">BH49-AD49</f>
        <v>786.59971076318641</v>
      </c>
      <c r="BL49" s="14"/>
      <c r="BM49" s="43"/>
      <c r="BN49" s="33"/>
      <c r="BR49" s="127"/>
    </row>
    <row r="50" spans="1:70" ht="63" x14ac:dyDescent="0.25">
      <c r="A50" s="151">
        <v>36</v>
      </c>
      <c r="B50" s="156" t="s">
        <v>279</v>
      </c>
      <c r="C50" s="156" t="s">
        <v>278</v>
      </c>
      <c r="D50" s="156" t="s">
        <v>311</v>
      </c>
      <c r="E50" s="156">
        <v>5</v>
      </c>
      <c r="F50" s="156">
        <v>71.16</v>
      </c>
      <c r="G50" s="156">
        <v>4</v>
      </c>
      <c r="H50" s="101">
        <f t="shared" si="55"/>
        <v>2.8464</v>
      </c>
      <c r="I50" s="156"/>
      <c r="J50" s="156">
        <f t="shared" si="56"/>
        <v>0</v>
      </c>
      <c r="K50" s="156"/>
      <c r="L50" s="156">
        <f t="shared" si="57"/>
        <v>0</v>
      </c>
      <c r="M50" s="156"/>
      <c r="N50" s="156">
        <v>25</v>
      </c>
      <c r="O50" s="156">
        <f t="shared" si="58"/>
        <v>17.79</v>
      </c>
      <c r="P50" s="156"/>
      <c r="Q50" s="156"/>
      <c r="R50" s="156">
        <v>40</v>
      </c>
      <c r="S50" s="156">
        <f t="shared" si="59"/>
        <v>36.718560000000004</v>
      </c>
      <c r="T50" s="156">
        <v>30</v>
      </c>
      <c r="U50" s="156">
        <f t="shared" si="60"/>
        <v>38.554487999999999</v>
      </c>
      <c r="V50" s="156">
        <v>30</v>
      </c>
      <c r="W50" s="156">
        <f t="shared" si="61"/>
        <v>38.554487999999999</v>
      </c>
      <c r="X50" s="60">
        <f t="shared" si="62"/>
        <v>205.62393599999999</v>
      </c>
      <c r="Y50" s="60">
        <f t="shared" si="54"/>
        <v>1.5228426395939085</v>
      </c>
      <c r="Z50" s="60">
        <f t="shared" si="63"/>
        <v>12.337436159999999</v>
      </c>
      <c r="AA50" s="60">
        <f t="shared" si="64"/>
        <v>14.39367552</v>
      </c>
      <c r="AB50" s="60">
        <f t="shared" si="65"/>
        <v>233.87789031959389</v>
      </c>
      <c r="AC50" s="60">
        <f t="shared" si="34"/>
        <v>70.631122876517352</v>
      </c>
      <c r="AD50" s="60">
        <f t="shared" si="12"/>
        <v>28.766980509310049</v>
      </c>
      <c r="AE50" s="60">
        <f t="shared" si="13"/>
        <v>20.277213090708791</v>
      </c>
      <c r="AF50" s="60" t="s">
        <v>83</v>
      </c>
      <c r="AG50" s="159">
        <v>30.677966000000001</v>
      </c>
      <c r="AH50" s="60">
        <v>36.5</v>
      </c>
      <c r="AI50" s="60">
        <v>47.45</v>
      </c>
      <c r="AJ50" s="60">
        <v>50.735000000000007</v>
      </c>
      <c r="AK50" s="60">
        <v>54.02</v>
      </c>
      <c r="AL50" s="60">
        <f t="shared" si="14"/>
        <v>49.913750000000014</v>
      </c>
      <c r="AM50" s="60">
        <f>AG50*AL50/100*23</f>
        <v>352.18803484947512</v>
      </c>
      <c r="AN50" s="60"/>
      <c r="AO50" s="60"/>
      <c r="AP50" s="60"/>
      <c r="AQ50" s="60">
        <f t="shared" si="67"/>
        <v>0</v>
      </c>
      <c r="AR50" s="60">
        <f t="shared" si="68"/>
        <v>352.18803484947512</v>
      </c>
      <c r="AS50" s="60" t="s">
        <v>172</v>
      </c>
      <c r="AT50" s="60">
        <v>63.56</v>
      </c>
      <c r="AU50" s="60">
        <v>3.36</v>
      </c>
      <c r="AV50" s="60">
        <f>AL50/100*23*AU50/100*AT50</f>
        <v>24.517218717600006</v>
      </c>
      <c r="AW50" s="60">
        <v>50000</v>
      </c>
      <c r="AX50" s="60">
        <v>23</v>
      </c>
      <c r="AY50" s="60" t="s">
        <v>181</v>
      </c>
      <c r="AZ50" s="60">
        <v>5788.14</v>
      </c>
      <c r="BA50" s="80">
        <v>10</v>
      </c>
      <c r="BB50" s="60">
        <f>AZ50*BA50/AW50*AX50</f>
        <v>26.625444000000002</v>
      </c>
      <c r="BC50" s="60">
        <v>37.44</v>
      </c>
      <c r="BD50" s="60">
        <v>34.82</v>
      </c>
      <c r="BE50" s="60"/>
      <c r="BF50" s="60">
        <v>6.5</v>
      </c>
      <c r="BG50" s="60"/>
      <c r="BH50" s="80">
        <f t="shared" si="71"/>
        <v>815.3666912724965</v>
      </c>
      <c r="BI50" s="60">
        <f t="shared" si="20"/>
        <v>46.775578063918779</v>
      </c>
      <c r="BJ50" s="80">
        <f t="shared" si="53"/>
        <v>882.41948242712408</v>
      </c>
      <c r="BK50" s="102">
        <f t="shared" si="72"/>
        <v>786.59971076318641</v>
      </c>
      <c r="BL50" s="14"/>
      <c r="BM50" s="43"/>
      <c r="BN50" s="33"/>
      <c r="BR50" s="127"/>
    </row>
    <row r="51" spans="1:70" ht="63" x14ac:dyDescent="0.25">
      <c r="A51" s="58" t="s">
        <v>122</v>
      </c>
      <c r="B51" s="156" t="s">
        <v>245</v>
      </c>
      <c r="C51" s="156" t="s">
        <v>41</v>
      </c>
      <c r="D51" s="156" t="s">
        <v>311</v>
      </c>
      <c r="E51" s="156">
        <v>5</v>
      </c>
      <c r="F51" s="156">
        <v>71.16</v>
      </c>
      <c r="G51" s="156">
        <v>4</v>
      </c>
      <c r="H51" s="101">
        <f t="shared" si="55"/>
        <v>2.8464</v>
      </c>
      <c r="I51" s="156"/>
      <c r="J51" s="156">
        <f t="shared" si="56"/>
        <v>0</v>
      </c>
      <c r="K51" s="156"/>
      <c r="L51" s="156">
        <f t="shared" si="57"/>
        <v>0</v>
      </c>
      <c r="M51" s="156"/>
      <c r="N51" s="156">
        <v>25</v>
      </c>
      <c r="O51" s="156">
        <f t="shared" si="58"/>
        <v>17.79</v>
      </c>
      <c r="P51" s="156"/>
      <c r="Q51" s="156"/>
      <c r="R51" s="156">
        <v>40</v>
      </c>
      <c r="S51" s="156">
        <f t="shared" si="59"/>
        <v>36.718560000000004</v>
      </c>
      <c r="T51" s="156">
        <v>30</v>
      </c>
      <c r="U51" s="156">
        <f t="shared" si="60"/>
        <v>38.554487999999999</v>
      </c>
      <c r="V51" s="156">
        <v>30</v>
      </c>
      <c r="W51" s="156">
        <f t="shared" si="61"/>
        <v>38.554487999999999</v>
      </c>
      <c r="X51" s="60">
        <f t="shared" si="62"/>
        <v>205.62393599999999</v>
      </c>
      <c r="Y51" s="60">
        <f t="shared" si="54"/>
        <v>1.5228426395939085</v>
      </c>
      <c r="Z51" s="60">
        <f t="shared" si="63"/>
        <v>12.337436159999999</v>
      </c>
      <c r="AA51" s="60">
        <f t="shared" si="64"/>
        <v>14.39367552</v>
      </c>
      <c r="AB51" s="60">
        <f t="shared" si="65"/>
        <v>233.87789031959389</v>
      </c>
      <c r="AC51" s="60">
        <f t="shared" si="34"/>
        <v>70.631122876517352</v>
      </c>
      <c r="AD51" s="60">
        <f t="shared" si="12"/>
        <v>28.766980509310049</v>
      </c>
      <c r="AE51" s="60">
        <f t="shared" si="13"/>
        <v>20.277213090708791</v>
      </c>
      <c r="AF51" s="60" t="s">
        <v>83</v>
      </c>
      <c r="AG51" s="159">
        <v>30.677966000000001</v>
      </c>
      <c r="AH51" s="60">
        <v>36.5</v>
      </c>
      <c r="AI51" s="60">
        <v>47.45</v>
      </c>
      <c r="AJ51" s="60">
        <v>50.735000000000007</v>
      </c>
      <c r="AK51" s="60">
        <v>54.02</v>
      </c>
      <c r="AL51" s="60">
        <f t="shared" si="14"/>
        <v>49.913750000000014</v>
      </c>
      <c r="AM51" s="60">
        <f t="shared" si="66"/>
        <v>352.18803484947512</v>
      </c>
      <c r="AN51" s="60"/>
      <c r="AO51" s="60"/>
      <c r="AP51" s="60"/>
      <c r="AQ51" s="60">
        <f t="shared" si="67"/>
        <v>0</v>
      </c>
      <c r="AR51" s="60">
        <f t="shared" si="68"/>
        <v>352.18803484947512</v>
      </c>
      <c r="AS51" s="60" t="s">
        <v>172</v>
      </c>
      <c r="AT51" s="60">
        <v>63.56</v>
      </c>
      <c r="AU51" s="60">
        <v>3.36</v>
      </c>
      <c r="AV51" s="60">
        <f t="shared" si="69"/>
        <v>24.517218717600006</v>
      </c>
      <c r="AW51" s="60">
        <v>50000</v>
      </c>
      <c r="AX51" s="60">
        <v>23</v>
      </c>
      <c r="AY51" s="60" t="s">
        <v>181</v>
      </c>
      <c r="AZ51" s="60">
        <v>5788.14</v>
      </c>
      <c r="BA51" s="80">
        <v>10</v>
      </c>
      <c r="BB51" s="60">
        <f t="shared" si="70"/>
        <v>26.625444000000002</v>
      </c>
      <c r="BC51" s="60">
        <v>37.44</v>
      </c>
      <c r="BD51" s="60">
        <v>34.82</v>
      </c>
      <c r="BE51" s="60"/>
      <c r="BF51" s="60">
        <v>6.5</v>
      </c>
      <c r="BG51" s="60"/>
      <c r="BH51" s="80">
        <f t="shared" si="71"/>
        <v>815.3666912724965</v>
      </c>
      <c r="BI51" s="60">
        <f t="shared" si="20"/>
        <v>46.775578063918779</v>
      </c>
      <c r="BJ51" s="80">
        <f t="shared" si="53"/>
        <v>882.41948242712408</v>
      </c>
      <c r="BK51" s="102">
        <f t="shared" si="72"/>
        <v>786.59971076318641</v>
      </c>
      <c r="BL51" s="14"/>
      <c r="BM51" s="43"/>
      <c r="BN51" s="33"/>
      <c r="BR51" s="127"/>
    </row>
    <row r="52" spans="1:70" ht="63" x14ac:dyDescent="0.25">
      <c r="A52" s="37" t="s">
        <v>123</v>
      </c>
      <c r="B52" s="156" t="s">
        <v>246</v>
      </c>
      <c r="C52" s="156" t="s">
        <v>42</v>
      </c>
      <c r="D52" s="156" t="s">
        <v>311</v>
      </c>
      <c r="E52" s="156">
        <v>5</v>
      </c>
      <c r="F52" s="156">
        <v>71.16</v>
      </c>
      <c r="G52" s="156">
        <v>4</v>
      </c>
      <c r="H52" s="101">
        <f t="shared" si="55"/>
        <v>2.8464</v>
      </c>
      <c r="I52" s="156"/>
      <c r="J52" s="156">
        <f t="shared" si="56"/>
        <v>0</v>
      </c>
      <c r="K52" s="156"/>
      <c r="L52" s="156">
        <f t="shared" si="57"/>
        <v>0</v>
      </c>
      <c r="M52" s="156"/>
      <c r="N52" s="156">
        <v>25</v>
      </c>
      <c r="O52" s="156">
        <f t="shared" si="58"/>
        <v>17.79</v>
      </c>
      <c r="P52" s="156"/>
      <c r="Q52" s="156"/>
      <c r="R52" s="156">
        <v>40</v>
      </c>
      <c r="S52" s="156">
        <f t="shared" si="59"/>
        <v>36.718560000000004</v>
      </c>
      <c r="T52" s="156">
        <v>30</v>
      </c>
      <c r="U52" s="156">
        <f t="shared" si="60"/>
        <v>38.554487999999999</v>
      </c>
      <c r="V52" s="156">
        <v>30</v>
      </c>
      <c r="W52" s="156">
        <f t="shared" si="61"/>
        <v>38.554487999999999</v>
      </c>
      <c r="X52" s="60">
        <f t="shared" si="62"/>
        <v>205.62393599999999</v>
      </c>
      <c r="Y52" s="60">
        <f t="shared" si="54"/>
        <v>1.5228426395939085</v>
      </c>
      <c r="Z52" s="60">
        <f t="shared" si="63"/>
        <v>12.337436159999999</v>
      </c>
      <c r="AA52" s="60">
        <f t="shared" si="64"/>
        <v>14.39367552</v>
      </c>
      <c r="AB52" s="60">
        <f t="shared" si="65"/>
        <v>233.87789031959389</v>
      </c>
      <c r="AC52" s="60">
        <f t="shared" si="34"/>
        <v>70.631122876517352</v>
      </c>
      <c r="AD52" s="60">
        <f t="shared" si="12"/>
        <v>28.766980509310049</v>
      </c>
      <c r="AE52" s="60">
        <f t="shared" si="13"/>
        <v>20.277213090708791</v>
      </c>
      <c r="AF52" s="60" t="s">
        <v>83</v>
      </c>
      <c r="AG52" s="159">
        <v>30.677966000000001</v>
      </c>
      <c r="AH52" s="60">
        <v>36.5</v>
      </c>
      <c r="AI52" s="60">
        <v>47.45</v>
      </c>
      <c r="AJ52" s="60">
        <v>50.735000000000007</v>
      </c>
      <c r="AK52" s="60">
        <v>54.02</v>
      </c>
      <c r="AL52" s="60">
        <f t="shared" si="14"/>
        <v>49.913750000000014</v>
      </c>
      <c r="AM52" s="60">
        <f t="shared" si="66"/>
        <v>352.18803484947512</v>
      </c>
      <c r="AN52" s="60"/>
      <c r="AO52" s="60"/>
      <c r="AP52" s="60"/>
      <c r="AQ52" s="60">
        <f t="shared" si="67"/>
        <v>0</v>
      </c>
      <c r="AR52" s="60">
        <f t="shared" si="68"/>
        <v>352.18803484947512</v>
      </c>
      <c r="AS52" s="60" t="s">
        <v>172</v>
      </c>
      <c r="AT52" s="60">
        <v>63.56</v>
      </c>
      <c r="AU52" s="60">
        <v>3.36</v>
      </c>
      <c r="AV52" s="60">
        <f t="shared" si="69"/>
        <v>24.517218717600006</v>
      </c>
      <c r="AW52" s="60">
        <v>50000</v>
      </c>
      <c r="AX52" s="60">
        <v>23</v>
      </c>
      <c r="AY52" s="60" t="s">
        <v>181</v>
      </c>
      <c r="AZ52" s="60">
        <v>5788.14</v>
      </c>
      <c r="BA52" s="80">
        <v>10</v>
      </c>
      <c r="BB52" s="60">
        <f t="shared" si="70"/>
        <v>26.625444000000002</v>
      </c>
      <c r="BC52" s="60">
        <v>37.44</v>
      </c>
      <c r="BD52" s="60">
        <v>34.82</v>
      </c>
      <c r="BE52" s="60"/>
      <c r="BF52" s="60">
        <v>6.5</v>
      </c>
      <c r="BG52" s="60"/>
      <c r="BH52" s="80">
        <f t="shared" si="71"/>
        <v>815.3666912724965</v>
      </c>
      <c r="BI52" s="60">
        <f t="shared" si="20"/>
        <v>46.775578063918779</v>
      </c>
      <c r="BJ52" s="80">
        <f t="shared" si="53"/>
        <v>882.41948242712408</v>
      </c>
      <c r="BK52" s="102">
        <f t="shared" si="72"/>
        <v>786.59971076318641</v>
      </c>
      <c r="BL52" s="14"/>
      <c r="BM52" s="43"/>
      <c r="BN52" s="33"/>
      <c r="BR52" s="127"/>
    </row>
    <row r="53" spans="1:70" ht="63" x14ac:dyDescent="0.25">
      <c r="A53" s="58" t="s">
        <v>124</v>
      </c>
      <c r="B53" s="156" t="s">
        <v>245</v>
      </c>
      <c r="C53" s="156" t="s">
        <v>43</v>
      </c>
      <c r="D53" s="156" t="s">
        <v>311</v>
      </c>
      <c r="E53" s="156">
        <v>5</v>
      </c>
      <c r="F53" s="156">
        <v>71.16</v>
      </c>
      <c r="G53" s="156">
        <v>0</v>
      </c>
      <c r="H53" s="101">
        <f t="shared" si="55"/>
        <v>0</v>
      </c>
      <c r="I53" s="156"/>
      <c r="J53" s="156">
        <f t="shared" si="56"/>
        <v>0</v>
      </c>
      <c r="K53" s="156"/>
      <c r="L53" s="156">
        <f t="shared" si="57"/>
        <v>0</v>
      </c>
      <c r="M53" s="156"/>
      <c r="N53" s="156">
        <v>25</v>
      </c>
      <c r="O53" s="156">
        <f t="shared" si="58"/>
        <v>17.79</v>
      </c>
      <c r="P53" s="156"/>
      <c r="Q53" s="156"/>
      <c r="R53" s="156">
        <v>40</v>
      </c>
      <c r="S53" s="156">
        <f t="shared" si="59"/>
        <v>35.58</v>
      </c>
      <c r="T53" s="156">
        <v>30</v>
      </c>
      <c r="U53" s="156">
        <f t="shared" si="60"/>
        <v>37.358999999999995</v>
      </c>
      <c r="V53" s="156">
        <v>30</v>
      </c>
      <c r="W53" s="156">
        <f t="shared" si="61"/>
        <v>37.358999999999995</v>
      </c>
      <c r="X53" s="60">
        <f t="shared" si="62"/>
        <v>199.24799999999999</v>
      </c>
      <c r="Y53" s="60">
        <f t="shared" si="54"/>
        <v>1.5228426395939085</v>
      </c>
      <c r="Z53" s="60">
        <f t="shared" si="63"/>
        <v>11.954879999999999</v>
      </c>
      <c r="AA53" s="60">
        <f t="shared" si="64"/>
        <v>13.947360000000002</v>
      </c>
      <c r="AB53" s="60">
        <f t="shared" si="65"/>
        <v>226.6730826395939</v>
      </c>
      <c r="AC53" s="60">
        <f t="shared" si="34"/>
        <v>68.455270957157353</v>
      </c>
      <c r="AD53" s="60">
        <f t="shared" si="12"/>
        <v>27.880789164670048</v>
      </c>
      <c r="AE53" s="60">
        <f t="shared" si="13"/>
        <v>19.652556264852791</v>
      </c>
      <c r="AF53" s="60" t="s">
        <v>83</v>
      </c>
      <c r="AG53" s="159">
        <v>30.677966000000001</v>
      </c>
      <c r="AH53" s="60">
        <v>36.5</v>
      </c>
      <c r="AI53" s="60">
        <v>47.45</v>
      </c>
      <c r="AJ53" s="60">
        <v>50.735000000000007</v>
      </c>
      <c r="AK53" s="60">
        <v>54.02</v>
      </c>
      <c r="AL53" s="60">
        <f t="shared" si="14"/>
        <v>49.913750000000014</v>
      </c>
      <c r="AM53" s="60">
        <f t="shared" si="66"/>
        <v>352.18803484947512</v>
      </c>
      <c r="AN53" s="60"/>
      <c r="AO53" s="60"/>
      <c r="AP53" s="60"/>
      <c r="AQ53" s="60">
        <f t="shared" si="67"/>
        <v>0</v>
      </c>
      <c r="AR53" s="60">
        <f t="shared" si="68"/>
        <v>352.18803484947512</v>
      </c>
      <c r="AS53" s="60" t="s">
        <v>172</v>
      </c>
      <c r="AT53" s="60">
        <v>63.56</v>
      </c>
      <c r="AU53" s="60">
        <v>3.36</v>
      </c>
      <c r="AV53" s="60">
        <f t="shared" si="69"/>
        <v>24.517218717600006</v>
      </c>
      <c r="AW53" s="60">
        <v>50000</v>
      </c>
      <c r="AX53" s="60">
        <v>23</v>
      </c>
      <c r="AY53" s="60" t="s">
        <v>181</v>
      </c>
      <c r="AZ53" s="60">
        <v>5788.14</v>
      </c>
      <c r="BA53" s="80">
        <v>10</v>
      </c>
      <c r="BB53" s="60">
        <f t="shared" si="70"/>
        <v>26.625444000000002</v>
      </c>
      <c r="BC53" s="60">
        <v>37.44</v>
      </c>
      <c r="BD53" s="60">
        <v>34.82</v>
      </c>
      <c r="BE53" s="60"/>
      <c r="BF53" s="60">
        <v>6.5</v>
      </c>
      <c r="BG53" s="60"/>
      <c r="BH53" s="80">
        <f t="shared" si="71"/>
        <v>805.0998403284965</v>
      </c>
      <c r="BI53" s="60">
        <f t="shared" si="20"/>
        <v>45.334616527918783</v>
      </c>
      <c r="BJ53" s="80">
        <f t="shared" si="53"/>
        <v>870.08701312126811</v>
      </c>
      <c r="BK53" s="102">
        <f t="shared" si="72"/>
        <v>777.21905116382641</v>
      </c>
      <c r="BL53" s="14"/>
      <c r="BM53" s="43"/>
      <c r="BN53" s="33"/>
      <c r="BR53" s="127"/>
    </row>
    <row r="54" spans="1:70" ht="63" x14ac:dyDescent="0.25">
      <c r="A54" s="37" t="s">
        <v>125</v>
      </c>
      <c r="B54" s="156" t="s">
        <v>247</v>
      </c>
      <c r="C54" s="156" t="s">
        <v>44</v>
      </c>
      <c r="D54" s="156" t="s">
        <v>311</v>
      </c>
      <c r="E54" s="156">
        <v>5</v>
      </c>
      <c r="F54" s="156">
        <v>71.16</v>
      </c>
      <c r="G54" s="156">
        <v>0</v>
      </c>
      <c r="H54" s="101">
        <f t="shared" si="55"/>
        <v>0</v>
      </c>
      <c r="I54" s="156"/>
      <c r="J54" s="156">
        <f t="shared" si="56"/>
        <v>0</v>
      </c>
      <c r="K54" s="156"/>
      <c r="L54" s="156">
        <f t="shared" si="57"/>
        <v>0</v>
      </c>
      <c r="M54" s="156"/>
      <c r="N54" s="156">
        <v>25</v>
      </c>
      <c r="O54" s="156">
        <f t="shared" si="58"/>
        <v>17.79</v>
      </c>
      <c r="P54" s="156"/>
      <c r="Q54" s="156"/>
      <c r="R54" s="156">
        <v>40</v>
      </c>
      <c r="S54" s="156">
        <f t="shared" si="59"/>
        <v>35.58</v>
      </c>
      <c r="T54" s="156">
        <v>30</v>
      </c>
      <c r="U54" s="156">
        <f t="shared" si="60"/>
        <v>37.358999999999995</v>
      </c>
      <c r="V54" s="156">
        <v>30</v>
      </c>
      <c r="W54" s="156">
        <f t="shared" si="61"/>
        <v>37.358999999999995</v>
      </c>
      <c r="X54" s="60">
        <f t="shared" si="62"/>
        <v>199.24799999999999</v>
      </c>
      <c r="Y54" s="60">
        <f t="shared" si="54"/>
        <v>1.5228426395939085</v>
      </c>
      <c r="Z54" s="60">
        <f t="shared" si="63"/>
        <v>11.954879999999999</v>
      </c>
      <c r="AA54" s="60">
        <f t="shared" si="64"/>
        <v>13.947360000000002</v>
      </c>
      <c r="AB54" s="60">
        <f t="shared" si="65"/>
        <v>226.6730826395939</v>
      </c>
      <c r="AC54" s="60">
        <f t="shared" si="34"/>
        <v>68.455270957157353</v>
      </c>
      <c r="AD54" s="60">
        <f t="shared" si="12"/>
        <v>27.880789164670048</v>
      </c>
      <c r="AE54" s="60">
        <f t="shared" si="13"/>
        <v>19.652556264852791</v>
      </c>
      <c r="AF54" s="60" t="s">
        <v>83</v>
      </c>
      <c r="AG54" s="159">
        <v>30.677966000000001</v>
      </c>
      <c r="AH54" s="60">
        <v>32.200000000000003</v>
      </c>
      <c r="AI54" s="60">
        <v>41.86</v>
      </c>
      <c r="AJ54" s="60">
        <v>44.758000000000003</v>
      </c>
      <c r="AK54" s="60">
        <v>47.655999999999999</v>
      </c>
      <c r="AL54" s="60">
        <f t="shared" si="14"/>
        <v>44.033499999999997</v>
      </c>
      <c r="AM54" s="60">
        <f t="shared" si="66"/>
        <v>310.69738964803003</v>
      </c>
      <c r="AN54" s="60"/>
      <c r="AO54" s="60"/>
      <c r="AP54" s="60"/>
      <c r="AQ54" s="60">
        <f t="shared" si="67"/>
        <v>0</v>
      </c>
      <c r="AR54" s="60">
        <f t="shared" si="68"/>
        <v>310.69738964803003</v>
      </c>
      <c r="AS54" s="60" t="s">
        <v>172</v>
      </c>
      <c r="AT54" s="60">
        <v>63.56</v>
      </c>
      <c r="AU54" s="60">
        <v>3.36</v>
      </c>
      <c r="AV54" s="60">
        <f t="shared" si="69"/>
        <v>21.628888841279998</v>
      </c>
      <c r="AW54" s="60">
        <v>50000</v>
      </c>
      <c r="AX54" s="60">
        <v>23</v>
      </c>
      <c r="AY54" s="60" t="s">
        <v>179</v>
      </c>
      <c r="AZ54" s="60">
        <v>7523.72</v>
      </c>
      <c r="BA54" s="80">
        <v>10</v>
      </c>
      <c r="BB54" s="60">
        <f t="shared" si="70"/>
        <v>34.609111999999996</v>
      </c>
      <c r="BC54" s="60">
        <v>37.44</v>
      </c>
      <c r="BD54" s="60">
        <v>34.82</v>
      </c>
      <c r="BE54" s="60"/>
      <c r="BF54" s="60">
        <v>6.5</v>
      </c>
      <c r="BG54" s="60"/>
      <c r="BH54" s="80">
        <f t="shared" si="71"/>
        <v>768.70453325073129</v>
      </c>
      <c r="BI54" s="60">
        <f t="shared" si="20"/>
        <v>45.334616527918783</v>
      </c>
      <c r="BJ54" s="80">
        <f t="shared" si="53"/>
        <v>833.6917060435029</v>
      </c>
      <c r="BK54" s="102">
        <f t="shared" si="72"/>
        <v>740.8237440860612</v>
      </c>
      <c r="BL54" s="14"/>
      <c r="BM54" s="43"/>
      <c r="BN54" s="33"/>
      <c r="BR54" s="127"/>
    </row>
    <row r="55" spans="1:70" ht="63" x14ac:dyDescent="0.25">
      <c r="A55" s="58" t="s">
        <v>126</v>
      </c>
      <c r="B55" s="156" t="s">
        <v>248</v>
      </c>
      <c r="C55" s="156" t="s">
        <v>45</v>
      </c>
      <c r="D55" s="156" t="s">
        <v>311</v>
      </c>
      <c r="E55" s="156">
        <v>5</v>
      </c>
      <c r="F55" s="156">
        <v>71.16</v>
      </c>
      <c r="G55" s="156">
        <v>4</v>
      </c>
      <c r="H55" s="101">
        <f t="shared" si="55"/>
        <v>2.8464</v>
      </c>
      <c r="I55" s="156"/>
      <c r="J55" s="156">
        <f t="shared" si="56"/>
        <v>0</v>
      </c>
      <c r="K55" s="156"/>
      <c r="L55" s="156">
        <f t="shared" si="57"/>
        <v>0</v>
      </c>
      <c r="M55" s="156"/>
      <c r="N55" s="156">
        <v>25</v>
      </c>
      <c r="O55" s="156">
        <f t="shared" si="58"/>
        <v>17.79</v>
      </c>
      <c r="P55" s="156"/>
      <c r="Q55" s="156"/>
      <c r="R55" s="156">
        <v>40</v>
      </c>
      <c r="S55" s="156">
        <f t="shared" si="59"/>
        <v>36.718560000000004</v>
      </c>
      <c r="T55" s="156">
        <v>30</v>
      </c>
      <c r="U55" s="156">
        <f t="shared" si="60"/>
        <v>38.554487999999999</v>
      </c>
      <c r="V55" s="156">
        <v>30</v>
      </c>
      <c r="W55" s="156">
        <f t="shared" si="61"/>
        <v>38.554487999999999</v>
      </c>
      <c r="X55" s="60">
        <f t="shared" si="62"/>
        <v>205.62393599999999</v>
      </c>
      <c r="Y55" s="60">
        <f t="shared" si="54"/>
        <v>1.5228426395939085</v>
      </c>
      <c r="Z55" s="60">
        <f t="shared" si="63"/>
        <v>12.337436159999999</v>
      </c>
      <c r="AA55" s="60">
        <f t="shared" si="64"/>
        <v>14.39367552</v>
      </c>
      <c r="AB55" s="60">
        <f t="shared" si="65"/>
        <v>233.87789031959389</v>
      </c>
      <c r="AC55" s="60">
        <f t="shared" si="34"/>
        <v>70.631122876517352</v>
      </c>
      <c r="AD55" s="60">
        <f t="shared" si="12"/>
        <v>28.766980509310049</v>
      </c>
      <c r="AE55" s="60">
        <f t="shared" si="13"/>
        <v>20.277213090708791</v>
      </c>
      <c r="AF55" s="60" t="s">
        <v>83</v>
      </c>
      <c r="AG55" s="159">
        <v>30.677966000000001</v>
      </c>
      <c r="AH55" s="60">
        <v>32.200000000000003</v>
      </c>
      <c r="AI55" s="60">
        <v>41.86</v>
      </c>
      <c r="AJ55" s="60">
        <v>44.758000000000003</v>
      </c>
      <c r="AK55" s="60">
        <v>47.655999999999999</v>
      </c>
      <c r="AL55" s="60">
        <f t="shared" si="14"/>
        <v>44.033499999999997</v>
      </c>
      <c r="AM55" s="60">
        <f t="shared" si="66"/>
        <v>310.69738964803003</v>
      </c>
      <c r="AN55" s="60"/>
      <c r="AO55" s="60"/>
      <c r="AP55" s="60"/>
      <c r="AQ55" s="60">
        <f t="shared" si="67"/>
        <v>0</v>
      </c>
      <c r="AR55" s="60">
        <f t="shared" si="68"/>
        <v>310.69738964803003</v>
      </c>
      <c r="AS55" s="60" t="s">
        <v>172</v>
      </c>
      <c r="AT55" s="60">
        <v>63.56</v>
      </c>
      <c r="AU55" s="60">
        <v>3.36</v>
      </c>
      <c r="AV55" s="60">
        <f t="shared" si="69"/>
        <v>21.628888841279998</v>
      </c>
      <c r="AW55" s="60">
        <v>50000</v>
      </c>
      <c r="AX55" s="60">
        <v>23</v>
      </c>
      <c r="AY55" s="60" t="s">
        <v>179</v>
      </c>
      <c r="AZ55" s="60">
        <v>7523.72</v>
      </c>
      <c r="BA55" s="80">
        <v>10</v>
      </c>
      <c r="BB55" s="60">
        <f t="shared" si="70"/>
        <v>34.609111999999996</v>
      </c>
      <c r="BC55" s="60">
        <v>37.44</v>
      </c>
      <c r="BD55" s="60">
        <v>34.82</v>
      </c>
      <c r="BE55" s="60"/>
      <c r="BF55" s="60">
        <v>6.5</v>
      </c>
      <c r="BG55" s="60"/>
      <c r="BH55" s="80">
        <f t="shared" si="71"/>
        <v>778.97138419473129</v>
      </c>
      <c r="BI55" s="60">
        <f t="shared" si="20"/>
        <v>46.775578063918779</v>
      </c>
      <c r="BJ55" s="80">
        <f t="shared" si="53"/>
        <v>846.02417534935887</v>
      </c>
      <c r="BK55" s="102">
        <f t="shared" si="72"/>
        <v>750.2044036854212</v>
      </c>
      <c r="BL55" s="14"/>
      <c r="BM55" s="43"/>
      <c r="BN55" s="33"/>
      <c r="BR55" s="127"/>
    </row>
    <row r="56" spans="1:70" ht="63" x14ac:dyDescent="0.25">
      <c r="A56" s="37" t="s">
        <v>127</v>
      </c>
      <c r="B56" s="156" t="s">
        <v>249</v>
      </c>
      <c r="C56" s="156" t="s">
        <v>0</v>
      </c>
      <c r="D56" s="156" t="s">
        <v>311</v>
      </c>
      <c r="E56" s="156">
        <v>4</v>
      </c>
      <c r="F56" s="156">
        <v>63.25</v>
      </c>
      <c r="G56" s="156">
        <v>0</v>
      </c>
      <c r="H56" s="101">
        <f t="shared" si="55"/>
        <v>0</v>
      </c>
      <c r="I56" s="156"/>
      <c r="J56" s="156">
        <f t="shared" si="56"/>
        <v>0</v>
      </c>
      <c r="K56" s="156"/>
      <c r="L56" s="156">
        <f t="shared" si="57"/>
        <v>0</v>
      </c>
      <c r="M56" s="156"/>
      <c r="N56" s="156">
        <v>25</v>
      </c>
      <c r="O56" s="156">
        <f t="shared" si="58"/>
        <v>15.8125</v>
      </c>
      <c r="P56" s="156"/>
      <c r="Q56" s="156"/>
      <c r="R56" s="156">
        <v>40</v>
      </c>
      <c r="S56" s="156">
        <f t="shared" si="59"/>
        <v>31.625</v>
      </c>
      <c r="T56" s="156">
        <v>30</v>
      </c>
      <c r="U56" s="156">
        <f t="shared" si="60"/>
        <v>33.206249999999997</v>
      </c>
      <c r="V56" s="156">
        <v>30</v>
      </c>
      <c r="W56" s="156">
        <f t="shared" si="61"/>
        <v>33.206249999999997</v>
      </c>
      <c r="X56" s="60">
        <f t="shared" si="62"/>
        <v>177.10000000000002</v>
      </c>
      <c r="Y56" s="60">
        <f t="shared" si="54"/>
        <v>1.5228426395939085</v>
      </c>
      <c r="Z56" s="60">
        <f t="shared" si="63"/>
        <v>10.626000000000001</v>
      </c>
      <c r="AA56" s="60">
        <f t="shared" si="64"/>
        <v>12.397000000000002</v>
      </c>
      <c r="AB56" s="60">
        <f t="shared" si="65"/>
        <v>201.64584263959392</v>
      </c>
      <c r="AC56" s="60">
        <f t="shared" si="34"/>
        <v>60.897044477157365</v>
      </c>
      <c r="AD56" s="60">
        <f t="shared" si="12"/>
        <v>24.802438644670051</v>
      </c>
      <c r="AE56" s="60">
        <f t="shared" si="13"/>
        <v>17.482694556852792</v>
      </c>
      <c r="AF56" s="60" t="s">
        <v>83</v>
      </c>
      <c r="AG56" s="159">
        <v>30.677966000000001</v>
      </c>
      <c r="AH56" s="60">
        <v>31</v>
      </c>
      <c r="AI56" s="60">
        <v>43.4</v>
      </c>
      <c r="AJ56" s="60">
        <v>46.19</v>
      </c>
      <c r="AK56" s="60">
        <v>48.98</v>
      </c>
      <c r="AL56" s="60">
        <f t="shared" si="14"/>
        <v>45.4925</v>
      </c>
      <c r="AM56" s="60">
        <f t="shared" ref="AM56:AM63" si="73">AG56*AL56/100*23</f>
        <v>320.99199469864999</v>
      </c>
      <c r="AN56" s="60"/>
      <c r="AO56" s="60"/>
      <c r="AP56" s="60"/>
      <c r="AQ56" s="60">
        <f t="shared" si="67"/>
        <v>0</v>
      </c>
      <c r="AR56" s="60">
        <f t="shared" si="68"/>
        <v>320.99199469864999</v>
      </c>
      <c r="AS56" s="60" t="s">
        <v>172</v>
      </c>
      <c r="AT56" s="60">
        <v>63.56</v>
      </c>
      <c r="AU56" s="60">
        <v>3.36</v>
      </c>
      <c r="AV56" s="60">
        <f t="shared" si="69"/>
        <v>22.345537502400003</v>
      </c>
      <c r="AW56" s="60">
        <v>50000</v>
      </c>
      <c r="AX56" s="60">
        <v>23</v>
      </c>
      <c r="AY56" s="60" t="s">
        <v>180</v>
      </c>
      <c r="AZ56" s="60">
        <v>5000</v>
      </c>
      <c r="BA56" s="80">
        <v>10</v>
      </c>
      <c r="BB56" s="60">
        <f t="shared" ref="BB56:BB63" si="74">AZ56*BA56/AW56*AX56</f>
        <v>23</v>
      </c>
      <c r="BC56" s="60">
        <v>37.44</v>
      </c>
      <c r="BD56" s="60">
        <v>34.82</v>
      </c>
      <c r="BE56" s="60">
        <v>7.39</v>
      </c>
      <c r="BF56" s="60">
        <v>6.5</v>
      </c>
      <c r="BG56" s="60"/>
      <c r="BH56" s="80">
        <f t="shared" si="71"/>
        <v>739.83285796247151</v>
      </c>
      <c r="BI56" s="60">
        <f t="shared" si="20"/>
        <v>40.329168527918789</v>
      </c>
      <c r="BJ56" s="80">
        <f t="shared" si="53"/>
        <v>797.64472104724314</v>
      </c>
      <c r="BK56" s="102">
        <f t="shared" si="72"/>
        <v>715.03041931780149</v>
      </c>
      <c r="BL56" s="14"/>
      <c r="BM56" s="43"/>
      <c r="BN56" s="33"/>
      <c r="BR56" s="127"/>
    </row>
    <row r="57" spans="1:70" ht="63" x14ac:dyDescent="0.25">
      <c r="A57" s="37" t="s">
        <v>128</v>
      </c>
      <c r="B57" s="156" t="s">
        <v>245</v>
      </c>
      <c r="C57" s="156" t="s">
        <v>46</v>
      </c>
      <c r="D57" s="156" t="s">
        <v>311</v>
      </c>
      <c r="E57" s="156">
        <v>5</v>
      </c>
      <c r="F57" s="156">
        <v>71.16</v>
      </c>
      <c r="G57" s="156">
        <v>0</v>
      </c>
      <c r="H57" s="101">
        <f t="shared" si="55"/>
        <v>0</v>
      </c>
      <c r="I57" s="156"/>
      <c r="J57" s="156">
        <f t="shared" si="56"/>
        <v>0</v>
      </c>
      <c r="K57" s="156"/>
      <c r="L57" s="156">
        <f t="shared" si="57"/>
        <v>0</v>
      </c>
      <c r="M57" s="156"/>
      <c r="N57" s="156">
        <v>25</v>
      </c>
      <c r="O57" s="156">
        <f t="shared" si="58"/>
        <v>17.79</v>
      </c>
      <c r="P57" s="156"/>
      <c r="Q57" s="156"/>
      <c r="R57" s="156">
        <v>40</v>
      </c>
      <c r="S57" s="156">
        <f t="shared" si="59"/>
        <v>35.58</v>
      </c>
      <c r="T57" s="156">
        <v>30</v>
      </c>
      <c r="U57" s="156">
        <f t="shared" si="60"/>
        <v>37.358999999999995</v>
      </c>
      <c r="V57" s="156">
        <v>30</v>
      </c>
      <c r="W57" s="156">
        <f t="shared" si="61"/>
        <v>37.358999999999995</v>
      </c>
      <c r="X57" s="60">
        <f t="shared" si="62"/>
        <v>199.24799999999999</v>
      </c>
      <c r="Y57" s="60">
        <f t="shared" si="54"/>
        <v>1.5228426395939085</v>
      </c>
      <c r="Z57" s="60">
        <f t="shared" si="63"/>
        <v>11.954879999999999</v>
      </c>
      <c r="AA57" s="60">
        <f t="shared" si="64"/>
        <v>13.947360000000002</v>
      </c>
      <c r="AB57" s="60">
        <f t="shared" si="65"/>
        <v>226.6730826395939</v>
      </c>
      <c r="AC57" s="60">
        <f t="shared" si="34"/>
        <v>68.455270957157353</v>
      </c>
      <c r="AD57" s="60">
        <f t="shared" si="12"/>
        <v>27.880789164670048</v>
      </c>
      <c r="AE57" s="60">
        <f t="shared" si="13"/>
        <v>19.652556264852791</v>
      </c>
      <c r="AF57" s="60" t="s">
        <v>83</v>
      </c>
      <c r="AG57" s="159">
        <v>30.677966000000001</v>
      </c>
      <c r="AH57" s="60">
        <v>36.5</v>
      </c>
      <c r="AI57" s="60">
        <v>47.45</v>
      </c>
      <c r="AJ57" s="60">
        <v>50.735000000000007</v>
      </c>
      <c r="AK57" s="60">
        <v>54.02</v>
      </c>
      <c r="AL57" s="60">
        <f t="shared" si="14"/>
        <v>49.913750000000014</v>
      </c>
      <c r="AM57" s="60">
        <f t="shared" si="73"/>
        <v>352.18803484947512</v>
      </c>
      <c r="AN57" s="60"/>
      <c r="AO57" s="60"/>
      <c r="AP57" s="60"/>
      <c r="AQ57" s="60">
        <f t="shared" si="67"/>
        <v>0</v>
      </c>
      <c r="AR57" s="60">
        <f t="shared" si="68"/>
        <v>352.18803484947512</v>
      </c>
      <c r="AS57" s="60" t="s">
        <v>172</v>
      </c>
      <c r="AT57" s="60">
        <v>63.56</v>
      </c>
      <c r="AU57" s="60">
        <v>3.36</v>
      </c>
      <c r="AV57" s="60">
        <f t="shared" ref="AV57:AV63" si="75">AL57/100*23*AU57/100*AT57</f>
        <v>24.517218717600006</v>
      </c>
      <c r="AW57" s="60">
        <v>50000</v>
      </c>
      <c r="AX57" s="60">
        <v>23</v>
      </c>
      <c r="AY57" s="60" t="s">
        <v>181</v>
      </c>
      <c r="AZ57" s="60">
        <v>5788.14</v>
      </c>
      <c r="BA57" s="80">
        <v>10</v>
      </c>
      <c r="BB57" s="60">
        <f t="shared" si="74"/>
        <v>26.625444000000002</v>
      </c>
      <c r="BC57" s="60">
        <v>37.44</v>
      </c>
      <c r="BD57" s="60">
        <v>34.82</v>
      </c>
      <c r="BE57" s="60"/>
      <c r="BF57" s="60">
        <v>6.5</v>
      </c>
      <c r="BG57" s="60"/>
      <c r="BH57" s="80">
        <f t="shared" si="71"/>
        <v>805.0998403284965</v>
      </c>
      <c r="BI57" s="60">
        <f t="shared" si="20"/>
        <v>45.334616527918783</v>
      </c>
      <c r="BJ57" s="80">
        <f t="shared" si="53"/>
        <v>870.08701312126811</v>
      </c>
      <c r="BK57" s="102">
        <f t="shared" si="72"/>
        <v>777.21905116382641</v>
      </c>
      <c r="BL57" s="14"/>
      <c r="BM57" s="43"/>
      <c r="BN57" s="33"/>
      <c r="BR57" s="127"/>
    </row>
    <row r="58" spans="1:70" ht="63" x14ac:dyDescent="0.25">
      <c r="A58" s="37" t="s">
        <v>129</v>
      </c>
      <c r="B58" s="156" t="s">
        <v>454</v>
      </c>
      <c r="C58" s="156" t="s">
        <v>4</v>
      </c>
      <c r="D58" s="156" t="s">
        <v>311</v>
      </c>
      <c r="E58" s="156">
        <v>5</v>
      </c>
      <c r="F58" s="156">
        <v>71.16</v>
      </c>
      <c r="G58" s="156">
        <v>4</v>
      </c>
      <c r="H58" s="101">
        <f t="shared" si="55"/>
        <v>2.8464</v>
      </c>
      <c r="I58" s="156"/>
      <c r="J58" s="156">
        <f t="shared" si="56"/>
        <v>0</v>
      </c>
      <c r="K58" s="156"/>
      <c r="L58" s="156">
        <f t="shared" si="57"/>
        <v>0</v>
      </c>
      <c r="M58" s="156"/>
      <c r="N58" s="156">
        <v>25</v>
      </c>
      <c r="O58" s="156">
        <f t="shared" si="58"/>
        <v>17.79</v>
      </c>
      <c r="P58" s="156"/>
      <c r="Q58" s="156"/>
      <c r="R58" s="156">
        <v>40</v>
      </c>
      <c r="S58" s="156">
        <f t="shared" si="59"/>
        <v>36.718560000000004</v>
      </c>
      <c r="T58" s="156">
        <v>30</v>
      </c>
      <c r="U58" s="156">
        <f t="shared" si="60"/>
        <v>38.554487999999999</v>
      </c>
      <c r="V58" s="156">
        <v>30</v>
      </c>
      <c r="W58" s="156">
        <f t="shared" si="61"/>
        <v>38.554487999999999</v>
      </c>
      <c r="X58" s="60">
        <f t="shared" si="62"/>
        <v>205.62393599999999</v>
      </c>
      <c r="Y58" s="60">
        <f t="shared" si="54"/>
        <v>1.5228426395939085</v>
      </c>
      <c r="Z58" s="60">
        <f t="shared" si="63"/>
        <v>12.337436159999999</v>
      </c>
      <c r="AA58" s="60">
        <f t="shared" si="64"/>
        <v>14.39367552</v>
      </c>
      <c r="AB58" s="60">
        <f t="shared" si="65"/>
        <v>233.87789031959389</v>
      </c>
      <c r="AC58" s="60">
        <f t="shared" si="34"/>
        <v>70.631122876517352</v>
      </c>
      <c r="AD58" s="60">
        <f t="shared" si="12"/>
        <v>28.766980509310049</v>
      </c>
      <c r="AE58" s="60">
        <f t="shared" si="13"/>
        <v>20.277213090708791</v>
      </c>
      <c r="AF58" s="60" t="s">
        <v>83</v>
      </c>
      <c r="AG58" s="159">
        <v>30.677966000000001</v>
      </c>
      <c r="AH58" s="60">
        <v>31.37</v>
      </c>
      <c r="AI58" s="60">
        <v>40.781000000000006</v>
      </c>
      <c r="AJ58" s="60">
        <v>43.604300000000002</v>
      </c>
      <c r="AK58" s="60">
        <v>46.427599999999998</v>
      </c>
      <c r="AL58" s="60">
        <f t="shared" si="14"/>
        <v>42.898474999999998</v>
      </c>
      <c r="AM58" s="60">
        <f t="shared" si="73"/>
        <v>302.6887302254255</v>
      </c>
      <c r="AN58" s="60"/>
      <c r="AO58" s="60"/>
      <c r="AP58" s="60"/>
      <c r="AQ58" s="60">
        <f t="shared" si="67"/>
        <v>0</v>
      </c>
      <c r="AR58" s="60">
        <f t="shared" si="68"/>
        <v>302.6887302254255</v>
      </c>
      <c r="AS58" s="60" t="s">
        <v>172</v>
      </c>
      <c r="AT58" s="60">
        <v>63.56</v>
      </c>
      <c r="AU58" s="60">
        <v>3.36</v>
      </c>
      <c r="AV58" s="60">
        <f t="shared" si="75"/>
        <v>21.071374004688</v>
      </c>
      <c r="AW58" s="60">
        <v>50000</v>
      </c>
      <c r="AX58" s="60">
        <v>23</v>
      </c>
      <c r="AY58" s="60" t="s">
        <v>181</v>
      </c>
      <c r="AZ58" s="60">
        <v>5788.14</v>
      </c>
      <c r="BA58" s="80">
        <v>10</v>
      </c>
      <c r="BB58" s="60">
        <f t="shared" si="74"/>
        <v>26.625444000000002</v>
      </c>
      <c r="BC58" s="60">
        <v>37.44</v>
      </c>
      <c r="BD58" s="60">
        <v>34.82</v>
      </c>
      <c r="BE58" s="60"/>
      <c r="BF58" s="60">
        <v>6.5</v>
      </c>
      <c r="BG58" s="60"/>
      <c r="BH58" s="80">
        <f t="shared" si="71"/>
        <v>762.42154193553472</v>
      </c>
      <c r="BI58" s="60">
        <f t="shared" si="20"/>
        <v>46.775578063918779</v>
      </c>
      <c r="BJ58" s="80">
        <f t="shared" si="53"/>
        <v>829.4743330901623</v>
      </c>
      <c r="BK58" s="102">
        <f t="shared" si="72"/>
        <v>733.65456142622463</v>
      </c>
      <c r="BL58" s="14"/>
      <c r="BM58" s="43"/>
      <c r="BN58" s="33"/>
      <c r="BR58" s="127"/>
    </row>
    <row r="59" spans="1:70" ht="63" x14ac:dyDescent="0.25">
      <c r="A59" s="37" t="s">
        <v>130</v>
      </c>
      <c r="B59" s="156" t="s">
        <v>455</v>
      </c>
      <c r="C59" s="156" t="s">
        <v>47</v>
      </c>
      <c r="D59" s="156" t="s">
        <v>311</v>
      </c>
      <c r="E59" s="156">
        <v>5</v>
      </c>
      <c r="F59" s="156">
        <v>71.16</v>
      </c>
      <c r="G59" s="156">
        <v>0</v>
      </c>
      <c r="H59" s="101">
        <f t="shared" si="55"/>
        <v>0</v>
      </c>
      <c r="I59" s="156"/>
      <c r="J59" s="156">
        <f t="shared" si="56"/>
        <v>0</v>
      </c>
      <c r="K59" s="156"/>
      <c r="L59" s="156">
        <f t="shared" si="57"/>
        <v>0</v>
      </c>
      <c r="M59" s="156">
        <v>2.98</v>
      </c>
      <c r="N59" s="156">
        <v>25</v>
      </c>
      <c r="O59" s="156">
        <f t="shared" si="58"/>
        <v>17.79</v>
      </c>
      <c r="P59" s="156"/>
      <c r="Q59" s="156"/>
      <c r="R59" s="156">
        <v>40</v>
      </c>
      <c r="S59" s="156">
        <f t="shared" si="59"/>
        <v>36.772000000000006</v>
      </c>
      <c r="T59" s="156">
        <v>30</v>
      </c>
      <c r="U59" s="156">
        <f t="shared" si="60"/>
        <v>38.610599999999998</v>
      </c>
      <c r="V59" s="156">
        <v>30</v>
      </c>
      <c r="W59" s="156">
        <f t="shared" si="61"/>
        <v>38.610599999999998</v>
      </c>
      <c r="X59" s="60">
        <f t="shared" si="62"/>
        <v>205.92320000000001</v>
      </c>
      <c r="Y59" s="60">
        <f t="shared" si="54"/>
        <v>1.5228426395939085</v>
      </c>
      <c r="Z59" s="60">
        <f t="shared" si="63"/>
        <v>12.355392</v>
      </c>
      <c r="AA59" s="60">
        <f t="shared" si="64"/>
        <v>14.414624000000002</v>
      </c>
      <c r="AB59" s="60">
        <f t="shared" si="65"/>
        <v>234.21605863959391</v>
      </c>
      <c r="AC59" s="60">
        <f t="shared" si="34"/>
        <v>70.733249709157363</v>
      </c>
      <c r="AD59" s="60">
        <f t="shared" si="12"/>
        <v>28.80857521267005</v>
      </c>
      <c r="AE59" s="60">
        <f t="shared" si="13"/>
        <v>20.306532284052793</v>
      </c>
      <c r="AF59" s="60" t="s">
        <v>83</v>
      </c>
      <c r="AG59" s="159">
        <v>30.677966000000001</v>
      </c>
      <c r="AH59" s="60">
        <v>27</v>
      </c>
      <c r="AI59" s="60">
        <v>35.1</v>
      </c>
      <c r="AJ59" s="60">
        <v>37.530000000000008</v>
      </c>
      <c r="AK59" s="60">
        <v>39.96</v>
      </c>
      <c r="AL59" s="60">
        <f t="shared" si="14"/>
        <v>36.922500000000007</v>
      </c>
      <c r="AM59" s="60">
        <f t="shared" si="73"/>
        <v>260.5226559160501</v>
      </c>
      <c r="AN59" s="60"/>
      <c r="AO59" s="60"/>
      <c r="AP59" s="60"/>
      <c r="AQ59" s="60">
        <f t="shared" si="67"/>
        <v>0</v>
      </c>
      <c r="AR59" s="60">
        <f t="shared" si="68"/>
        <v>260.5226559160501</v>
      </c>
      <c r="AS59" s="60" t="s">
        <v>172</v>
      </c>
      <c r="AT59" s="60">
        <v>63.56</v>
      </c>
      <c r="AU59" s="60">
        <v>3.36</v>
      </c>
      <c r="AV59" s="60">
        <f t="shared" si="75"/>
        <v>18.136024804800002</v>
      </c>
      <c r="AW59" s="60">
        <v>50000</v>
      </c>
      <c r="AX59" s="60">
        <v>23</v>
      </c>
      <c r="AY59" s="60" t="s">
        <v>181</v>
      </c>
      <c r="AZ59" s="60">
        <v>5788.14</v>
      </c>
      <c r="BA59" s="80">
        <v>10</v>
      </c>
      <c r="BB59" s="60">
        <f t="shared" si="74"/>
        <v>26.625444000000002</v>
      </c>
      <c r="BC59" s="60">
        <v>37.44</v>
      </c>
      <c r="BD59" s="60">
        <v>34.82</v>
      </c>
      <c r="BE59" s="60"/>
      <c r="BF59" s="60">
        <v>6.5</v>
      </c>
      <c r="BG59" s="60"/>
      <c r="BH59" s="80">
        <f t="shared" si="71"/>
        <v>717.80200828227146</v>
      </c>
      <c r="BI59" s="60">
        <f t="shared" si="20"/>
        <v>46.843211727918785</v>
      </c>
      <c r="BJ59" s="80">
        <f t="shared" si="53"/>
        <v>784.95175229424297</v>
      </c>
      <c r="BK59" s="102">
        <f t="shared" si="72"/>
        <v>688.99343306960145</v>
      </c>
      <c r="BL59" s="14"/>
      <c r="BM59" s="43"/>
      <c r="BN59" s="33"/>
      <c r="BR59" s="127"/>
    </row>
    <row r="60" spans="1:70" ht="63" x14ac:dyDescent="0.25">
      <c r="A60" s="37" t="s">
        <v>131</v>
      </c>
      <c r="B60" s="156" t="s">
        <v>250</v>
      </c>
      <c r="C60" s="156" t="s">
        <v>48</v>
      </c>
      <c r="D60" s="156" t="s">
        <v>311</v>
      </c>
      <c r="E60" s="156">
        <v>5</v>
      </c>
      <c r="F60" s="156">
        <v>79.069999999999993</v>
      </c>
      <c r="G60" s="45">
        <v>6</v>
      </c>
      <c r="H60" s="101">
        <f t="shared" si="55"/>
        <v>4.7441999999999993</v>
      </c>
      <c r="I60" s="156"/>
      <c r="J60" s="156">
        <f t="shared" si="56"/>
        <v>0</v>
      </c>
      <c r="K60" s="156">
        <v>0</v>
      </c>
      <c r="L60" s="156">
        <f t="shared" si="57"/>
        <v>0</v>
      </c>
      <c r="M60" s="156">
        <v>0</v>
      </c>
      <c r="N60" s="156">
        <v>25</v>
      </c>
      <c r="O60" s="156">
        <f t="shared" si="58"/>
        <v>19.767499999999998</v>
      </c>
      <c r="P60" s="156"/>
      <c r="Q60" s="156"/>
      <c r="R60" s="156">
        <v>40</v>
      </c>
      <c r="S60" s="156">
        <f t="shared" si="59"/>
        <v>41.432679999999998</v>
      </c>
      <c r="T60" s="156">
        <v>30</v>
      </c>
      <c r="U60" s="156">
        <f t="shared" si="60"/>
        <v>43.504313999999994</v>
      </c>
      <c r="V60" s="156">
        <v>30</v>
      </c>
      <c r="W60" s="156">
        <f t="shared" si="61"/>
        <v>43.504313999999994</v>
      </c>
      <c r="X60" s="60">
        <f t="shared" si="62"/>
        <v>232.02300799999998</v>
      </c>
      <c r="Y60" s="60">
        <f t="shared" si="54"/>
        <v>1.5228426395939085</v>
      </c>
      <c r="Z60" s="60">
        <f t="shared" si="63"/>
        <v>13.921380479999998</v>
      </c>
      <c r="AA60" s="60">
        <f t="shared" si="64"/>
        <v>16.241610560000002</v>
      </c>
      <c r="AB60" s="60">
        <f t="shared" si="65"/>
        <v>263.70884167959389</v>
      </c>
      <c r="AC60" s="60">
        <f t="shared" si="34"/>
        <v>79.640070187237356</v>
      </c>
      <c r="AD60" s="60">
        <f t="shared" si="12"/>
        <v>32.436187526590047</v>
      </c>
      <c r="AE60" s="60">
        <f t="shared" si="13"/>
        <v>22.863556573620791</v>
      </c>
      <c r="AF60" s="60" t="s">
        <v>83</v>
      </c>
      <c r="AG60" s="159">
        <v>30.677966000000001</v>
      </c>
      <c r="AH60" s="60">
        <v>30.6</v>
      </c>
      <c r="AI60" s="60">
        <v>39.78</v>
      </c>
      <c r="AJ60" s="60">
        <v>42.534000000000006</v>
      </c>
      <c r="AK60" s="60">
        <v>45.287999999999997</v>
      </c>
      <c r="AL60" s="60">
        <f t="shared" si="14"/>
        <v>41.845500000000001</v>
      </c>
      <c r="AM60" s="60">
        <f t="shared" si="73"/>
        <v>295.25901003819001</v>
      </c>
      <c r="AN60" s="60" t="s">
        <v>170</v>
      </c>
      <c r="AO60" s="60">
        <v>8</v>
      </c>
      <c r="AP60" s="60">
        <v>0.1</v>
      </c>
      <c r="AQ60" s="60">
        <f t="shared" si="67"/>
        <v>24.542372800000003</v>
      </c>
      <c r="AR60" s="60">
        <f t="shared" si="68"/>
        <v>319.80138283819002</v>
      </c>
      <c r="AS60" s="60" t="s">
        <v>172</v>
      </c>
      <c r="AT60" s="60">
        <v>63.56</v>
      </c>
      <c r="AU60" s="60">
        <v>3.36</v>
      </c>
      <c r="AV60" s="60">
        <f t="shared" si="75"/>
        <v>20.554161445439998</v>
      </c>
      <c r="AW60" s="60">
        <v>50000</v>
      </c>
      <c r="AX60" s="60">
        <v>23</v>
      </c>
      <c r="AY60" s="60" t="s">
        <v>181</v>
      </c>
      <c r="AZ60" s="60">
        <v>5788.14</v>
      </c>
      <c r="BA60" s="80">
        <v>10</v>
      </c>
      <c r="BB60" s="60">
        <f t="shared" si="74"/>
        <v>26.625444000000002</v>
      </c>
      <c r="BC60" s="60">
        <v>37.44</v>
      </c>
      <c r="BD60" s="60">
        <v>34.82</v>
      </c>
      <c r="BE60" s="60"/>
      <c r="BF60" s="60">
        <v>6.5</v>
      </c>
      <c r="BG60" s="60"/>
      <c r="BH60" s="80">
        <f t="shared" si="71"/>
        <v>821.52608767705135</v>
      </c>
      <c r="BI60" s="60">
        <f t="shared" si="20"/>
        <v>52.741768335918778</v>
      </c>
      <c r="BJ60" s="80">
        <f t="shared" ref="BJ60:BJ77" si="76">BH60+AE60+BI60</f>
        <v>897.13141258659095</v>
      </c>
      <c r="BK60" s="102">
        <f t="shared" ref="BK60:BK94" si="77">BH60-AD60</f>
        <v>789.08990015046129</v>
      </c>
      <c r="BL60" s="14"/>
      <c r="BM60" s="43"/>
      <c r="BN60" s="33"/>
      <c r="BR60" s="127"/>
    </row>
    <row r="61" spans="1:70" ht="63" x14ac:dyDescent="0.25">
      <c r="A61" s="37" t="s">
        <v>132</v>
      </c>
      <c r="B61" s="156" t="s">
        <v>251</v>
      </c>
      <c r="C61" s="156" t="s">
        <v>49</v>
      </c>
      <c r="D61" s="156" t="s">
        <v>311</v>
      </c>
      <c r="E61" s="156">
        <v>5</v>
      </c>
      <c r="F61" s="156">
        <v>79.069999999999993</v>
      </c>
      <c r="G61" s="45">
        <v>6</v>
      </c>
      <c r="H61" s="101">
        <f t="shared" si="55"/>
        <v>4.7441999999999993</v>
      </c>
      <c r="I61" s="156"/>
      <c r="J61" s="156">
        <f t="shared" si="56"/>
        <v>0</v>
      </c>
      <c r="K61" s="156">
        <v>0</v>
      </c>
      <c r="L61" s="156">
        <f t="shared" si="57"/>
        <v>0</v>
      </c>
      <c r="M61" s="156">
        <v>3.31</v>
      </c>
      <c r="N61" s="156">
        <v>25</v>
      </c>
      <c r="O61" s="156">
        <f t="shared" si="58"/>
        <v>19.767499999999998</v>
      </c>
      <c r="P61" s="156"/>
      <c r="Q61" s="156"/>
      <c r="R61" s="156">
        <v>40</v>
      </c>
      <c r="S61" s="156">
        <f t="shared" si="59"/>
        <v>42.756679999999996</v>
      </c>
      <c r="T61" s="156">
        <v>30</v>
      </c>
      <c r="U61" s="156">
        <f t="shared" si="60"/>
        <v>44.894514000000001</v>
      </c>
      <c r="V61" s="156">
        <v>30</v>
      </c>
      <c r="W61" s="156">
        <f t="shared" si="61"/>
        <v>44.894514000000001</v>
      </c>
      <c r="X61" s="60">
        <f t="shared" si="62"/>
        <v>239.437408</v>
      </c>
      <c r="Y61" s="60">
        <f t="shared" si="54"/>
        <v>1.5228426395939085</v>
      </c>
      <c r="Z61" s="60">
        <f t="shared" si="63"/>
        <v>14.366244480000001</v>
      </c>
      <c r="AA61" s="60">
        <f t="shared" si="64"/>
        <v>16.760618560000001</v>
      </c>
      <c r="AB61" s="60">
        <f t="shared" si="65"/>
        <v>272.08711367959393</v>
      </c>
      <c r="AC61" s="60">
        <f t="shared" si="34"/>
        <v>82.170308331237365</v>
      </c>
      <c r="AD61" s="60">
        <f t="shared" si="12"/>
        <v>33.466714982590055</v>
      </c>
      <c r="AE61" s="60">
        <f t="shared" si="13"/>
        <v>23.589952756020793</v>
      </c>
      <c r="AF61" s="60" t="s">
        <v>88</v>
      </c>
      <c r="AG61" s="159">
        <v>30.677966000000001</v>
      </c>
      <c r="AH61" s="60">
        <v>30.6</v>
      </c>
      <c r="AI61" s="60">
        <v>39.78</v>
      </c>
      <c r="AJ61" s="60">
        <v>42.534000000000006</v>
      </c>
      <c r="AK61" s="60">
        <v>45.287999999999997</v>
      </c>
      <c r="AL61" s="60">
        <f t="shared" si="14"/>
        <v>41.845500000000001</v>
      </c>
      <c r="AM61" s="60">
        <f t="shared" si="73"/>
        <v>295.25901003819001</v>
      </c>
      <c r="AN61" s="60" t="s">
        <v>170</v>
      </c>
      <c r="AO61" s="60">
        <v>8</v>
      </c>
      <c r="AP61" s="60">
        <v>0.1</v>
      </c>
      <c r="AQ61" s="60">
        <f t="shared" si="67"/>
        <v>24.542372800000003</v>
      </c>
      <c r="AR61" s="60">
        <f t="shared" si="68"/>
        <v>319.80138283819002</v>
      </c>
      <c r="AS61" s="60" t="s">
        <v>172</v>
      </c>
      <c r="AT61" s="60">
        <v>63.56</v>
      </c>
      <c r="AU61" s="60">
        <v>3.36</v>
      </c>
      <c r="AV61" s="60">
        <f t="shared" si="75"/>
        <v>20.554161445439998</v>
      </c>
      <c r="AW61" s="60">
        <v>50000</v>
      </c>
      <c r="AX61" s="60">
        <v>23</v>
      </c>
      <c r="AY61" s="60" t="s">
        <v>181</v>
      </c>
      <c r="AZ61" s="60">
        <v>5788.14</v>
      </c>
      <c r="BA61" s="80">
        <v>10</v>
      </c>
      <c r="BB61" s="60">
        <f t="shared" si="74"/>
        <v>26.625444000000002</v>
      </c>
      <c r="BC61" s="60">
        <v>37.44</v>
      </c>
      <c r="BD61" s="60">
        <v>34.82</v>
      </c>
      <c r="BE61" s="60"/>
      <c r="BF61" s="60">
        <v>6.5</v>
      </c>
      <c r="BG61" s="60"/>
      <c r="BH61" s="80">
        <f t="shared" si="71"/>
        <v>833.46512527705147</v>
      </c>
      <c r="BI61" s="60">
        <f t="shared" si="20"/>
        <v>54.417422735918791</v>
      </c>
      <c r="BJ61" s="80">
        <f t="shared" si="76"/>
        <v>911.47250076899104</v>
      </c>
      <c r="BK61" s="102">
        <f t="shared" si="77"/>
        <v>799.99841029446145</v>
      </c>
      <c r="BL61" s="14"/>
      <c r="BM61" s="43"/>
      <c r="BN61" s="33"/>
      <c r="BR61" s="127"/>
    </row>
    <row r="62" spans="1:70" ht="63" x14ac:dyDescent="0.25">
      <c r="A62" s="37" t="s">
        <v>133</v>
      </c>
      <c r="B62" s="156" t="s">
        <v>252</v>
      </c>
      <c r="C62" s="156" t="s">
        <v>50</v>
      </c>
      <c r="D62" s="156" t="s">
        <v>311</v>
      </c>
      <c r="E62" s="156">
        <v>5</v>
      </c>
      <c r="F62" s="156">
        <v>79.069999999999993</v>
      </c>
      <c r="G62" s="156">
        <v>6</v>
      </c>
      <c r="H62" s="101">
        <f t="shared" si="55"/>
        <v>4.7441999999999993</v>
      </c>
      <c r="I62" s="156"/>
      <c r="J62" s="156">
        <f t="shared" si="56"/>
        <v>0</v>
      </c>
      <c r="K62" s="156"/>
      <c r="L62" s="156">
        <f t="shared" si="57"/>
        <v>0</v>
      </c>
      <c r="M62" s="156"/>
      <c r="N62" s="156">
        <v>25</v>
      </c>
      <c r="O62" s="156">
        <f t="shared" si="58"/>
        <v>19.767499999999998</v>
      </c>
      <c r="P62" s="156"/>
      <c r="Q62" s="156"/>
      <c r="R62" s="156">
        <v>40</v>
      </c>
      <c r="S62" s="156">
        <f t="shared" si="59"/>
        <v>41.432679999999998</v>
      </c>
      <c r="T62" s="156">
        <v>30</v>
      </c>
      <c r="U62" s="156">
        <f t="shared" si="60"/>
        <v>43.504313999999994</v>
      </c>
      <c r="V62" s="156">
        <v>30</v>
      </c>
      <c r="W62" s="156">
        <f t="shared" si="61"/>
        <v>43.504313999999994</v>
      </c>
      <c r="X62" s="60">
        <f t="shared" si="62"/>
        <v>232.02300799999998</v>
      </c>
      <c r="Y62" s="60">
        <f t="shared" si="54"/>
        <v>1.5228426395939085</v>
      </c>
      <c r="Z62" s="60">
        <f t="shared" si="63"/>
        <v>13.921380479999998</v>
      </c>
      <c r="AA62" s="60">
        <f t="shared" si="64"/>
        <v>16.241610560000002</v>
      </c>
      <c r="AB62" s="60">
        <f t="shared" si="65"/>
        <v>263.70884167959389</v>
      </c>
      <c r="AC62" s="60">
        <f t="shared" si="34"/>
        <v>79.640070187237356</v>
      </c>
      <c r="AD62" s="60">
        <f t="shared" si="12"/>
        <v>32.436187526590047</v>
      </c>
      <c r="AE62" s="60">
        <f t="shared" si="13"/>
        <v>22.863556573620791</v>
      </c>
      <c r="AF62" s="60" t="s">
        <v>83</v>
      </c>
      <c r="AG62" s="159">
        <v>30.677966000000001</v>
      </c>
      <c r="AH62" s="60">
        <v>30.6</v>
      </c>
      <c r="AI62" s="60">
        <v>39.78</v>
      </c>
      <c r="AJ62" s="60">
        <v>42.534000000000006</v>
      </c>
      <c r="AK62" s="60">
        <v>45.287999999999997</v>
      </c>
      <c r="AL62" s="60">
        <f t="shared" si="14"/>
        <v>41.845500000000001</v>
      </c>
      <c r="AM62" s="60">
        <f t="shared" si="73"/>
        <v>295.25901003819001</v>
      </c>
      <c r="AN62" s="60" t="s">
        <v>170</v>
      </c>
      <c r="AO62" s="60">
        <v>8</v>
      </c>
      <c r="AP62" s="60">
        <v>0.1</v>
      </c>
      <c r="AQ62" s="60">
        <f t="shared" si="67"/>
        <v>24.542372800000003</v>
      </c>
      <c r="AR62" s="60">
        <f t="shared" si="68"/>
        <v>319.80138283819002</v>
      </c>
      <c r="AS62" s="60" t="s">
        <v>172</v>
      </c>
      <c r="AT62" s="60">
        <v>63.56</v>
      </c>
      <c r="AU62" s="60">
        <v>3.36</v>
      </c>
      <c r="AV62" s="60">
        <f t="shared" si="75"/>
        <v>20.554161445439998</v>
      </c>
      <c r="AW62" s="60">
        <v>50000</v>
      </c>
      <c r="AX62" s="60">
        <v>23</v>
      </c>
      <c r="AY62" s="60" t="s">
        <v>181</v>
      </c>
      <c r="AZ62" s="60">
        <v>5788.14</v>
      </c>
      <c r="BA62" s="80">
        <v>10</v>
      </c>
      <c r="BB62" s="60">
        <f t="shared" si="74"/>
        <v>26.625444000000002</v>
      </c>
      <c r="BC62" s="60">
        <v>37.44</v>
      </c>
      <c r="BD62" s="60">
        <v>34.82</v>
      </c>
      <c r="BE62" s="60"/>
      <c r="BF62" s="60">
        <v>6.5</v>
      </c>
      <c r="BG62" s="60"/>
      <c r="BH62" s="80">
        <f t="shared" si="71"/>
        <v>821.52608767705135</v>
      </c>
      <c r="BI62" s="60">
        <f t="shared" si="20"/>
        <v>52.741768335918778</v>
      </c>
      <c r="BJ62" s="80">
        <f t="shared" si="76"/>
        <v>897.13141258659095</v>
      </c>
      <c r="BK62" s="102">
        <f t="shared" si="77"/>
        <v>789.08990015046129</v>
      </c>
      <c r="BL62" s="14"/>
      <c r="BM62" s="43"/>
      <c r="BN62" s="33"/>
      <c r="BR62" s="127"/>
    </row>
    <row r="63" spans="1:70" ht="63" x14ac:dyDescent="0.25">
      <c r="A63" s="151">
        <v>49</v>
      </c>
      <c r="B63" s="156" t="s">
        <v>251</v>
      </c>
      <c r="C63" s="156" t="s">
        <v>51</v>
      </c>
      <c r="D63" s="156" t="s">
        <v>311</v>
      </c>
      <c r="E63" s="156">
        <v>5</v>
      </c>
      <c r="F63" s="156">
        <v>79.069999999999993</v>
      </c>
      <c r="G63" s="156">
        <v>4</v>
      </c>
      <c r="H63" s="101">
        <f t="shared" si="55"/>
        <v>3.1627999999999998</v>
      </c>
      <c r="I63" s="156"/>
      <c r="J63" s="156">
        <f t="shared" si="56"/>
        <v>0</v>
      </c>
      <c r="K63" s="156"/>
      <c r="L63" s="156">
        <f t="shared" si="57"/>
        <v>0</v>
      </c>
      <c r="M63" s="156"/>
      <c r="N63" s="156">
        <v>25</v>
      </c>
      <c r="O63" s="156">
        <f t="shared" si="58"/>
        <v>19.767499999999998</v>
      </c>
      <c r="P63" s="156"/>
      <c r="Q63" s="156"/>
      <c r="R63" s="156">
        <v>40</v>
      </c>
      <c r="S63" s="156">
        <f t="shared" si="59"/>
        <v>40.80012</v>
      </c>
      <c r="T63" s="156">
        <v>30</v>
      </c>
      <c r="U63" s="156">
        <f t="shared" si="60"/>
        <v>42.840125999999998</v>
      </c>
      <c r="V63" s="156">
        <v>30</v>
      </c>
      <c r="W63" s="156">
        <f t="shared" si="61"/>
        <v>42.840125999999998</v>
      </c>
      <c r="X63" s="60">
        <f t="shared" si="62"/>
        <v>228.480672</v>
      </c>
      <c r="Y63" s="60">
        <f t="shared" si="54"/>
        <v>1.5228426395939085</v>
      </c>
      <c r="Z63" s="60">
        <f t="shared" si="63"/>
        <v>13.70884032</v>
      </c>
      <c r="AA63" s="60">
        <f t="shared" si="64"/>
        <v>15.993647040000001</v>
      </c>
      <c r="AB63" s="60">
        <f t="shared" si="65"/>
        <v>259.70600199959392</v>
      </c>
      <c r="AC63" s="60">
        <f t="shared" si="34"/>
        <v>78.431212603877356</v>
      </c>
      <c r="AD63" s="60">
        <f t="shared" si="12"/>
        <v>31.943838245950051</v>
      </c>
      <c r="AE63" s="60">
        <f t="shared" si="13"/>
        <v>22.516510373364795</v>
      </c>
      <c r="AF63" s="60" t="s">
        <v>83</v>
      </c>
      <c r="AG63" s="159">
        <v>30.677966000000001</v>
      </c>
      <c r="AH63" s="60">
        <v>30.6</v>
      </c>
      <c r="AI63" s="60">
        <v>39.78</v>
      </c>
      <c r="AJ63" s="60">
        <v>42.534000000000006</v>
      </c>
      <c r="AK63" s="60">
        <v>45.287999999999997</v>
      </c>
      <c r="AL63" s="60">
        <f t="shared" si="14"/>
        <v>41.845500000000001</v>
      </c>
      <c r="AM63" s="60">
        <f t="shared" si="73"/>
        <v>295.25901003819001</v>
      </c>
      <c r="AN63" s="60" t="s">
        <v>170</v>
      </c>
      <c r="AO63" s="60">
        <v>8</v>
      </c>
      <c r="AP63" s="60">
        <v>0.1</v>
      </c>
      <c r="AQ63" s="60">
        <f t="shared" si="67"/>
        <v>24.542372800000003</v>
      </c>
      <c r="AR63" s="60">
        <f t="shared" si="68"/>
        <v>319.80138283819002</v>
      </c>
      <c r="AS63" s="60" t="s">
        <v>172</v>
      </c>
      <c r="AT63" s="60">
        <v>63.56</v>
      </c>
      <c r="AU63" s="60">
        <v>3.36</v>
      </c>
      <c r="AV63" s="60">
        <f t="shared" si="75"/>
        <v>20.554161445439998</v>
      </c>
      <c r="AW63" s="60">
        <v>50000</v>
      </c>
      <c r="AX63" s="60">
        <v>23</v>
      </c>
      <c r="AY63" s="60" t="s">
        <v>181</v>
      </c>
      <c r="AZ63" s="60">
        <v>5788.14</v>
      </c>
      <c r="BA63" s="80">
        <v>10</v>
      </c>
      <c r="BB63" s="60">
        <f t="shared" si="74"/>
        <v>26.625444000000002</v>
      </c>
      <c r="BC63" s="60">
        <v>37.44</v>
      </c>
      <c r="BD63" s="60">
        <v>34.82</v>
      </c>
      <c r="BE63" s="60"/>
      <c r="BF63" s="60">
        <v>6.5</v>
      </c>
      <c r="BG63" s="60"/>
      <c r="BH63" s="80">
        <f t="shared" si="71"/>
        <v>815.82204113305136</v>
      </c>
      <c r="BI63" s="60">
        <f t="shared" si="20"/>
        <v>51.941200399918785</v>
      </c>
      <c r="BJ63" s="80">
        <f t="shared" si="76"/>
        <v>890.27975190633492</v>
      </c>
      <c r="BK63" s="102">
        <f t="shared" si="77"/>
        <v>783.87820288710134</v>
      </c>
      <c r="BL63" s="14"/>
      <c r="BM63" s="43"/>
      <c r="BN63" s="33"/>
      <c r="BR63" s="127"/>
    </row>
    <row r="64" spans="1:70" ht="63" x14ac:dyDescent="0.25">
      <c r="A64" s="37" t="s">
        <v>134</v>
      </c>
      <c r="B64" s="156" t="s">
        <v>434</v>
      </c>
      <c r="C64" s="156" t="s">
        <v>52</v>
      </c>
      <c r="D64" s="156" t="s">
        <v>313</v>
      </c>
      <c r="E64" s="156">
        <v>3</v>
      </c>
      <c r="F64" s="156">
        <v>57.98</v>
      </c>
      <c r="G64" s="156">
        <v>0</v>
      </c>
      <c r="H64" s="101">
        <f t="shared" si="55"/>
        <v>0</v>
      </c>
      <c r="I64" s="156"/>
      <c r="J64" s="156">
        <f t="shared" si="56"/>
        <v>0</v>
      </c>
      <c r="K64" s="156"/>
      <c r="L64" s="156">
        <f t="shared" si="57"/>
        <v>0</v>
      </c>
      <c r="M64" s="156"/>
      <c r="N64" s="156"/>
      <c r="O64" s="156">
        <f t="shared" si="58"/>
        <v>0</v>
      </c>
      <c r="P64" s="156"/>
      <c r="Q64" s="156"/>
      <c r="R64" s="156">
        <v>40</v>
      </c>
      <c r="S64" s="156">
        <f t="shared" si="59"/>
        <v>23.191999999999997</v>
      </c>
      <c r="T64" s="156">
        <v>30</v>
      </c>
      <c r="U64" s="156">
        <f t="shared" si="60"/>
        <v>24.351599999999998</v>
      </c>
      <c r="V64" s="156">
        <v>30</v>
      </c>
      <c r="W64" s="156">
        <f t="shared" si="61"/>
        <v>24.351599999999998</v>
      </c>
      <c r="X64" s="60">
        <f t="shared" si="62"/>
        <v>129.87519999999998</v>
      </c>
      <c r="Y64" s="60">
        <f t="shared" si="54"/>
        <v>1.5228426395939085</v>
      </c>
      <c r="Z64" s="60">
        <f t="shared" si="63"/>
        <v>7.7925119999999986</v>
      </c>
      <c r="AA64" s="60">
        <f t="shared" si="64"/>
        <v>9.0912639999999989</v>
      </c>
      <c r="AB64" s="60">
        <f t="shared" si="65"/>
        <v>148.28181863959387</v>
      </c>
      <c r="AC64" s="60">
        <f t="shared" si="34"/>
        <v>44.781109229157344</v>
      </c>
      <c r="AD64" s="60">
        <f t="shared" si="12"/>
        <v>18.238663692670045</v>
      </c>
      <c r="AE64" s="60">
        <f t="shared" si="13"/>
        <v>12.856033676052789</v>
      </c>
      <c r="AF64" s="60" t="s">
        <v>84</v>
      </c>
      <c r="AG64" s="159">
        <v>29.524999999999999</v>
      </c>
      <c r="AH64" s="60">
        <v>3.2</v>
      </c>
      <c r="AI64" s="60">
        <v>3.2</v>
      </c>
      <c r="AJ64" s="60">
        <v>3.4880000000000004</v>
      </c>
      <c r="AK64" s="60">
        <v>3.7759999999999998</v>
      </c>
      <c r="AL64" s="60">
        <f t="shared" si="14"/>
        <v>3.4160000000000004</v>
      </c>
      <c r="AM64" s="60">
        <f>AG64*AL64</f>
        <v>100.85740000000001</v>
      </c>
      <c r="AN64" s="60"/>
      <c r="AO64" s="60"/>
      <c r="AP64" s="60"/>
      <c r="AQ64" s="60">
        <f t="shared" si="67"/>
        <v>0</v>
      </c>
      <c r="AR64" s="60">
        <f t="shared" si="68"/>
        <v>100.85740000000001</v>
      </c>
      <c r="AS64" s="60" t="s">
        <v>173</v>
      </c>
      <c r="AT64" s="60">
        <v>158.47999999999999</v>
      </c>
      <c r="AU64" s="60">
        <v>2.88</v>
      </c>
      <c r="AV64" s="60">
        <f>AL64*AU64/100*AT64</f>
        <v>15.591389184000002</v>
      </c>
      <c r="AW64" s="60">
        <v>2000</v>
      </c>
      <c r="AX64" s="60"/>
      <c r="AY64" s="60"/>
      <c r="AZ64" s="60"/>
      <c r="BA64" s="60"/>
      <c r="BB64" s="60">
        <f>AZ64*BA64/2000</f>
        <v>0</v>
      </c>
      <c r="BC64" s="60">
        <v>37.44</v>
      </c>
      <c r="BD64" s="60">
        <v>34.82</v>
      </c>
      <c r="BE64" s="60"/>
      <c r="BF64" s="60">
        <v>6.5</v>
      </c>
      <c r="BG64" s="60"/>
      <c r="BH64" s="80">
        <f t="shared" si="71"/>
        <v>406.51038074542129</v>
      </c>
      <c r="BI64" s="60">
        <f t="shared" si="20"/>
        <v>29.656363727918773</v>
      </c>
      <c r="BJ64" s="80">
        <f t="shared" si="76"/>
        <v>449.02277814939282</v>
      </c>
      <c r="BK64" s="102">
        <f t="shared" si="77"/>
        <v>388.27171705275123</v>
      </c>
      <c r="BL64" s="14"/>
      <c r="BM64" s="43"/>
      <c r="BN64" s="33"/>
      <c r="BR64" s="127"/>
    </row>
    <row r="65" spans="1:70" ht="63" x14ac:dyDescent="0.25">
      <c r="A65" s="37" t="s">
        <v>135</v>
      </c>
      <c r="B65" s="156" t="s">
        <v>253</v>
      </c>
      <c r="C65" s="156" t="s">
        <v>53</v>
      </c>
      <c r="D65" s="156" t="s">
        <v>311</v>
      </c>
      <c r="E65" s="156">
        <v>5</v>
      </c>
      <c r="F65" s="156">
        <v>71.16</v>
      </c>
      <c r="G65" s="156">
        <v>0</v>
      </c>
      <c r="H65" s="101">
        <f t="shared" si="55"/>
        <v>0</v>
      </c>
      <c r="I65" s="156"/>
      <c r="J65" s="156">
        <f t="shared" si="56"/>
        <v>0</v>
      </c>
      <c r="K65" s="156"/>
      <c r="L65" s="156">
        <f t="shared" si="57"/>
        <v>0</v>
      </c>
      <c r="M65" s="156">
        <v>2.98</v>
      </c>
      <c r="N65" s="156">
        <v>25</v>
      </c>
      <c r="O65" s="156">
        <f t="shared" si="58"/>
        <v>17.79</v>
      </c>
      <c r="P65" s="156"/>
      <c r="Q65" s="156"/>
      <c r="R65" s="156">
        <v>40</v>
      </c>
      <c r="S65" s="156">
        <f t="shared" si="59"/>
        <v>36.772000000000006</v>
      </c>
      <c r="T65" s="156">
        <v>30</v>
      </c>
      <c r="U65" s="156">
        <f t="shared" si="60"/>
        <v>38.610599999999998</v>
      </c>
      <c r="V65" s="156">
        <v>30</v>
      </c>
      <c r="W65" s="156">
        <f t="shared" si="61"/>
        <v>38.610599999999998</v>
      </c>
      <c r="X65" s="60">
        <f t="shared" si="62"/>
        <v>205.92320000000001</v>
      </c>
      <c r="Y65" s="60">
        <f t="shared" si="54"/>
        <v>1.5228426395939085</v>
      </c>
      <c r="Z65" s="60">
        <f t="shared" si="63"/>
        <v>12.355392</v>
      </c>
      <c r="AA65" s="60">
        <f t="shared" si="64"/>
        <v>14.414624000000002</v>
      </c>
      <c r="AB65" s="60">
        <f t="shared" si="65"/>
        <v>234.21605863959391</v>
      </c>
      <c r="AC65" s="60">
        <f t="shared" si="34"/>
        <v>70.733249709157363</v>
      </c>
      <c r="AD65" s="60">
        <f t="shared" si="12"/>
        <v>28.80857521267005</v>
      </c>
      <c r="AE65" s="60">
        <f t="shared" si="13"/>
        <v>20.306532284052793</v>
      </c>
      <c r="AF65" s="60" t="s">
        <v>88</v>
      </c>
      <c r="AG65" s="159">
        <v>30.677966000000001</v>
      </c>
      <c r="AH65" s="60">
        <v>31</v>
      </c>
      <c r="AI65" s="60">
        <v>38.749999999999993</v>
      </c>
      <c r="AJ65" s="60">
        <v>41.539999999999992</v>
      </c>
      <c r="AK65" s="60">
        <v>44.329999999999991</v>
      </c>
      <c r="AL65" s="60">
        <f t="shared" si="14"/>
        <v>40.842499999999994</v>
      </c>
      <c r="AM65" s="60">
        <f t="shared" ref="AM65:AM105" si="78">AG65*AL65/100*23</f>
        <v>288.18191006164994</v>
      </c>
      <c r="AN65" s="60"/>
      <c r="AO65" s="60"/>
      <c r="AP65" s="60"/>
      <c r="AQ65" s="60">
        <f t="shared" si="67"/>
        <v>0</v>
      </c>
      <c r="AR65" s="60">
        <f t="shared" si="68"/>
        <v>288.18191006164994</v>
      </c>
      <c r="AS65" s="60" t="s">
        <v>172</v>
      </c>
      <c r="AT65" s="60">
        <v>63.56</v>
      </c>
      <c r="AU65" s="60">
        <v>2.8</v>
      </c>
      <c r="AV65" s="60">
        <f t="shared" ref="AV65:AV73" si="79">AL65/100*23*AU65/100*AT65</f>
        <v>16.717913491999994</v>
      </c>
      <c r="AW65" s="60">
        <v>50000</v>
      </c>
      <c r="AX65" s="60">
        <v>23</v>
      </c>
      <c r="AY65" s="60" t="s">
        <v>179</v>
      </c>
      <c r="AZ65" s="60">
        <v>7523.73</v>
      </c>
      <c r="BA65" s="80">
        <v>10</v>
      </c>
      <c r="BB65" s="60">
        <f t="shared" ref="BB65:BB82" si="80">AZ65*BA65/AW65*AX65</f>
        <v>34.609157999999994</v>
      </c>
      <c r="BC65" s="60">
        <v>37.44</v>
      </c>
      <c r="BD65" s="60">
        <v>34.82</v>
      </c>
      <c r="BE65" s="60">
        <v>207.7</v>
      </c>
      <c r="BF65" s="60">
        <v>6.5</v>
      </c>
      <c r="BG65" s="60"/>
      <c r="BH65" s="80">
        <f t="shared" si="71"/>
        <v>959.72686511507118</v>
      </c>
      <c r="BI65" s="60">
        <f t="shared" si="20"/>
        <v>46.843211727918785</v>
      </c>
      <c r="BJ65" s="80">
        <f t="shared" si="76"/>
        <v>1026.8766091270427</v>
      </c>
      <c r="BK65" s="102">
        <f t="shared" si="77"/>
        <v>930.91828990240117</v>
      </c>
      <c r="BL65" s="14"/>
      <c r="BM65" s="43"/>
      <c r="BN65" s="33"/>
      <c r="BR65" s="127"/>
    </row>
    <row r="66" spans="1:70" ht="63" x14ac:dyDescent="0.25">
      <c r="A66" s="37" t="s">
        <v>136</v>
      </c>
      <c r="B66" s="156" t="s">
        <v>253</v>
      </c>
      <c r="C66" s="156" t="s">
        <v>68</v>
      </c>
      <c r="D66" s="156" t="s">
        <v>311</v>
      </c>
      <c r="E66" s="156">
        <v>5</v>
      </c>
      <c r="F66" s="156">
        <v>71.16</v>
      </c>
      <c r="G66" s="156">
        <v>0</v>
      </c>
      <c r="H66" s="101">
        <f t="shared" si="55"/>
        <v>0</v>
      </c>
      <c r="I66" s="156"/>
      <c r="J66" s="156">
        <f t="shared" si="56"/>
        <v>0</v>
      </c>
      <c r="K66" s="156"/>
      <c r="L66" s="156">
        <f t="shared" si="57"/>
        <v>0</v>
      </c>
      <c r="M66" s="156">
        <v>2.98</v>
      </c>
      <c r="N66" s="156">
        <v>25</v>
      </c>
      <c r="O66" s="156">
        <f t="shared" si="58"/>
        <v>17.79</v>
      </c>
      <c r="P66" s="156"/>
      <c r="Q66" s="156"/>
      <c r="R66" s="156">
        <v>40</v>
      </c>
      <c r="S66" s="156">
        <f t="shared" si="59"/>
        <v>36.772000000000006</v>
      </c>
      <c r="T66" s="156">
        <v>30</v>
      </c>
      <c r="U66" s="156">
        <f t="shared" si="60"/>
        <v>38.610599999999998</v>
      </c>
      <c r="V66" s="156">
        <v>30</v>
      </c>
      <c r="W66" s="156">
        <f t="shared" si="61"/>
        <v>38.610599999999998</v>
      </c>
      <c r="X66" s="60">
        <f t="shared" si="62"/>
        <v>205.92320000000001</v>
      </c>
      <c r="Y66" s="60">
        <f t="shared" si="54"/>
        <v>1.5228426395939085</v>
      </c>
      <c r="Z66" s="60">
        <f t="shared" si="63"/>
        <v>12.355392</v>
      </c>
      <c r="AA66" s="60">
        <f t="shared" si="64"/>
        <v>14.414624000000002</v>
      </c>
      <c r="AB66" s="60">
        <f t="shared" si="65"/>
        <v>234.21605863959391</v>
      </c>
      <c r="AC66" s="60">
        <f t="shared" si="34"/>
        <v>70.733249709157363</v>
      </c>
      <c r="AD66" s="60">
        <f t="shared" si="12"/>
        <v>28.80857521267005</v>
      </c>
      <c r="AE66" s="60">
        <f t="shared" si="13"/>
        <v>20.306532284052793</v>
      </c>
      <c r="AF66" s="60" t="s">
        <v>88</v>
      </c>
      <c r="AG66" s="159">
        <v>30.677966000000001</v>
      </c>
      <c r="AH66" s="60">
        <v>31</v>
      </c>
      <c r="AI66" s="60">
        <v>38.749999999999993</v>
      </c>
      <c r="AJ66" s="60">
        <v>41.539999999999992</v>
      </c>
      <c r="AK66" s="60">
        <v>44.329999999999991</v>
      </c>
      <c r="AL66" s="60">
        <f t="shared" si="14"/>
        <v>40.842499999999994</v>
      </c>
      <c r="AM66" s="60">
        <f t="shared" si="78"/>
        <v>288.18191006164994</v>
      </c>
      <c r="AN66" s="60"/>
      <c r="AO66" s="60"/>
      <c r="AP66" s="60"/>
      <c r="AQ66" s="60">
        <f t="shared" si="67"/>
        <v>0</v>
      </c>
      <c r="AR66" s="60">
        <f t="shared" si="68"/>
        <v>288.18191006164994</v>
      </c>
      <c r="AS66" s="60" t="s">
        <v>172</v>
      </c>
      <c r="AT66" s="60">
        <v>63.56</v>
      </c>
      <c r="AU66" s="60">
        <v>2.8</v>
      </c>
      <c r="AV66" s="60">
        <f t="shared" si="79"/>
        <v>16.717913491999994</v>
      </c>
      <c r="AW66" s="60">
        <v>50000</v>
      </c>
      <c r="AX66" s="60">
        <v>23</v>
      </c>
      <c r="AY66" s="60" t="s">
        <v>179</v>
      </c>
      <c r="AZ66" s="60">
        <v>7523.73</v>
      </c>
      <c r="BA66" s="80">
        <v>10</v>
      </c>
      <c r="BB66" s="60">
        <f t="shared" si="80"/>
        <v>34.609157999999994</v>
      </c>
      <c r="BC66" s="60">
        <v>37.44</v>
      </c>
      <c r="BD66" s="60">
        <v>34.82</v>
      </c>
      <c r="BE66" s="60">
        <v>207.7</v>
      </c>
      <c r="BF66" s="60">
        <v>6.5</v>
      </c>
      <c r="BG66" s="60"/>
      <c r="BH66" s="80">
        <f t="shared" si="71"/>
        <v>959.72686511507118</v>
      </c>
      <c r="BI66" s="60">
        <f t="shared" si="20"/>
        <v>46.843211727918785</v>
      </c>
      <c r="BJ66" s="80">
        <f t="shared" si="76"/>
        <v>1026.8766091270427</v>
      </c>
      <c r="BK66" s="102">
        <f t="shared" si="77"/>
        <v>930.91828990240117</v>
      </c>
      <c r="BL66" s="14"/>
      <c r="BM66" s="43"/>
      <c r="BN66" s="33"/>
      <c r="BR66" s="127"/>
    </row>
    <row r="67" spans="1:70" ht="63" x14ac:dyDescent="0.25">
      <c r="A67" s="58" t="s">
        <v>137</v>
      </c>
      <c r="B67" s="156" t="s">
        <v>254</v>
      </c>
      <c r="C67" s="156" t="s">
        <v>69</v>
      </c>
      <c r="D67" s="156" t="s">
        <v>311</v>
      </c>
      <c r="E67" s="156">
        <v>5</v>
      </c>
      <c r="F67" s="156">
        <v>79.069999999999993</v>
      </c>
      <c r="G67" s="156">
        <v>6</v>
      </c>
      <c r="H67" s="101">
        <f t="shared" si="55"/>
        <v>4.7441999999999993</v>
      </c>
      <c r="I67" s="156"/>
      <c r="J67" s="156">
        <f t="shared" si="56"/>
        <v>0</v>
      </c>
      <c r="K67" s="156">
        <v>0</v>
      </c>
      <c r="L67" s="156">
        <f t="shared" si="57"/>
        <v>0</v>
      </c>
      <c r="M67" s="156">
        <v>0</v>
      </c>
      <c r="N67" s="156">
        <v>25</v>
      </c>
      <c r="O67" s="156">
        <f t="shared" si="58"/>
        <v>19.767499999999998</v>
      </c>
      <c r="P67" s="156"/>
      <c r="Q67" s="156"/>
      <c r="R67" s="156">
        <v>40</v>
      </c>
      <c r="S67" s="156">
        <f t="shared" si="59"/>
        <v>41.432679999999998</v>
      </c>
      <c r="T67" s="156">
        <v>30</v>
      </c>
      <c r="U67" s="156">
        <f t="shared" si="60"/>
        <v>43.504313999999994</v>
      </c>
      <c r="V67" s="156">
        <v>30</v>
      </c>
      <c r="W67" s="156">
        <f t="shared" si="61"/>
        <v>43.504313999999994</v>
      </c>
      <c r="X67" s="60">
        <f t="shared" si="62"/>
        <v>232.02300799999998</v>
      </c>
      <c r="Y67" s="60">
        <f t="shared" si="54"/>
        <v>1.5228426395939085</v>
      </c>
      <c r="Z67" s="60">
        <f t="shared" si="63"/>
        <v>13.921380479999998</v>
      </c>
      <c r="AA67" s="60">
        <f t="shared" si="64"/>
        <v>16.241610560000002</v>
      </c>
      <c r="AB67" s="60">
        <f t="shared" si="65"/>
        <v>263.70884167959389</v>
      </c>
      <c r="AC67" s="60">
        <f t="shared" si="34"/>
        <v>79.640070187237356</v>
      </c>
      <c r="AD67" s="60">
        <f t="shared" si="12"/>
        <v>32.436187526590047</v>
      </c>
      <c r="AE67" s="60">
        <f t="shared" si="13"/>
        <v>22.863556573620791</v>
      </c>
      <c r="AF67" s="60" t="s">
        <v>88</v>
      </c>
      <c r="AG67" s="159">
        <v>30.677966000000001</v>
      </c>
      <c r="AH67" s="60">
        <v>31</v>
      </c>
      <c r="AI67" s="60">
        <v>38.749999999999993</v>
      </c>
      <c r="AJ67" s="60">
        <v>41.539999999999992</v>
      </c>
      <c r="AK67" s="60">
        <v>44.329999999999991</v>
      </c>
      <c r="AL67" s="60">
        <f t="shared" si="14"/>
        <v>40.842499999999994</v>
      </c>
      <c r="AM67" s="60">
        <f t="shared" si="78"/>
        <v>288.18191006164994</v>
      </c>
      <c r="AN67" s="60" t="s">
        <v>170</v>
      </c>
      <c r="AO67" s="60">
        <v>8</v>
      </c>
      <c r="AP67" s="60">
        <v>0.1</v>
      </c>
      <c r="AQ67" s="60">
        <f t="shared" si="67"/>
        <v>24.542372800000003</v>
      </c>
      <c r="AR67" s="60">
        <f t="shared" si="68"/>
        <v>312.72428286164995</v>
      </c>
      <c r="AS67" s="60" t="s">
        <v>172</v>
      </c>
      <c r="AT67" s="60">
        <v>63.56</v>
      </c>
      <c r="AU67" s="60">
        <v>2.8</v>
      </c>
      <c r="AV67" s="60">
        <f t="shared" si="79"/>
        <v>16.717913491999994</v>
      </c>
      <c r="AW67" s="60">
        <v>50000</v>
      </c>
      <c r="AX67" s="60">
        <v>23</v>
      </c>
      <c r="AY67" s="60" t="s">
        <v>179</v>
      </c>
      <c r="AZ67" s="60">
        <v>7523.73</v>
      </c>
      <c r="BA67" s="80">
        <v>10</v>
      </c>
      <c r="BB67" s="60">
        <f t="shared" si="80"/>
        <v>34.609157999999994</v>
      </c>
      <c r="BC67" s="60">
        <v>37.44</v>
      </c>
      <c r="BD67" s="60">
        <v>34.82</v>
      </c>
      <c r="BE67" s="60">
        <v>319.57</v>
      </c>
      <c r="BF67" s="60">
        <v>6.5</v>
      </c>
      <c r="BG67" s="60"/>
      <c r="BH67" s="80">
        <f t="shared" si="71"/>
        <v>1138.1664537470713</v>
      </c>
      <c r="BI67" s="60">
        <f t="shared" si="20"/>
        <v>52.741768335918778</v>
      </c>
      <c r="BJ67" s="80">
        <f t="shared" si="76"/>
        <v>1213.7717786566109</v>
      </c>
      <c r="BK67" s="102">
        <f t="shared" si="77"/>
        <v>1105.7302662204813</v>
      </c>
      <c r="BL67" s="14"/>
      <c r="BM67" s="43"/>
      <c r="BN67" s="33"/>
      <c r="BR67" s="127"/>
    </row>
    <row r="68" spans="1:70" ht="63" x14ac:dyDescent="0.25">
      <c r="A68" s="37" t="s">
        <v>138</v>
      </c>
      <c r="B68" s="156" t="s">
        <v>294</v>
      </c>
      <c r="C68" s="156" t="s">
        <v>295</v>
      </c>
      <c r="D68" s="156" t="s">
        <v>311</v>
      </c>
      <c r="E68" s="156">
        <v>5</v>
      </c>
      <c r="F68" s="156">
        <v>79.069999999999993</v>
      </c>
      <c r="G68" s="156">
        <v>6</v>
      </c>
      <c r="H68" s="101">
        <f t="shared" si="55"/>
        <v>4.7441999999999993</v>
      </c>
      <c r="I68" s="156"/>
      <c r="J68" s="156">
        <f t="shared" si="56"/>
        <v>0</v>
      </c>
      <c r="K68" s="156"/>
      <c r="L68" s="156">
        <f t="shared" si="57"/>
        <v>0</v>
      </c>
      <c r="M68" s="156"/>
      <c r="N68" s="156">
        <v>25</v>
      </c>
      <c r="O68" s="156">
        <f t="shared" si="58"/>
        <v>19.767499999999998</v>
      </c>
      <c r="P68" s="156"/>
      <c r="Q68" s="156"/>
      <c r="R68" s="156">
        <v>40</v>
      </c>
      <c r="S68" s="156">
        <f t="shared" si="59"/>
        <v>41.432679999999998</v>
      </c>
      <c r="T68" s="156">
        <v>30</v>
      </c>
      <c r="U68" s="156">
        <f t="shared" si="60"/>
        <v>43.504313999999994</v>
      </c>
      <c r="V68" s="156">
        <v>30</v>
      </c>
      <c r="W68" s="156">
        <f t="shared" si="61"/>
        <v>43.504313999999994</v>
      </c>
      <c r="X68" s="60">
        <f t="shared" si="62"/>
        <v>232.02300799999998</v>
      </c>
      <c r="Y68" s="60">
        <f t="shared" si="54"/>
        <v>1.5228426395939085</v>
      </c>
      <c r="Z68" s="60">
        <f t="shared" ref="Z68:Z73" si="81">(X68-S68*1.6)*0.06</f>
        <v>9.9438431999999981</v>
      </c>
      <c r="AA68" s="60">
        <f t="shared" si="64"/>
        <v>16.241610560000002</v>
      </c>
      <c r="AB68" s="60">
        <f t="shared" si="65"/>
        <v>259.73130439959391</v>
      </c>
      <c r="AC68" s="60">
        <f t="shared" si="34"/>
        <v>78.438853928677361</v>
      </c>
      <c r="AD68" s="60">
        <f t="shared" si="12"/>
        <v>31.946950441150051</v>
      </c>
      <c r="AE68" s="60">
        <f t="shared" si="13"/>
        <v>22.518704091444793</v>
      </c>
      <c r="AF68" s="60" t="s">
        <v>83</v>
      </c>
      <c r="AG68" s="159">
        <v>30.677966000000001</v>
      </c>
      <c r="AH68" s="60">
        <v>25</v>
      </c>
      <c r="AI68" s="60">
        <v>31.75</v>
      </c>
      <c r="AJ68" s="60">
        <v>32.25</v>
      </c>
      <c r="AK68" s="60">
        <v>34.5</v>
      </c>
      <c r="AL68" s="60">
        <f t="shared" si="14"/>
        <v>32.5625</v>
      </c>
      <c r="AM68" s="60">
        <f t="shared" si="78"/>
        <v>229.75879161125005</v>
      </c>
      <c r="AN68" s="60" t="s">
        <v>170</v>
      </c>
      <c r="AO68" s="60">
        <v>8</v>
      </c>
      <c r="AP68" s="60">
        <v>0.1</v>
      </c>
      <c r="AQ68" s="60">
        <f>AO68*AP68*AG68</f>
        <v>24.542372800000003</v>
      </c>
      <c r="AR68" s="60">
        <f t="shared" si="68"/>
        <v>254.30116441125006</v>
      </c>
      <c r="AS68" s="60" t="s">
        <v>172</v>
      </c>
      <c r="AT68" s="60">
        <v>63.56</v>
      </c>
      <c r="AU68" s="60">
        <v>3.2</v>
      </c>
      <c r="AV68" s="60">
        <f t="shared" si="79"/>
        <v>15.232789600000002</v>
      </c>
      <c r="AW68" s="60">
        <v>50000</v>
      </c>
      <c r="AX68" s="60">
        <v>23</v>
      </c>
      <c r="AY68" s="60" t="s">
        <v>180</v>
      </c>
      <c r="AZ68" s="60">
        <v>5000</v>
      </c>
      <c r="BA68" s="80">
        <v>10</v>
      </c>
      <c r="BB68" s="60">
        <f t="shared" si="80"/>
        <v>23</v>
      </c>
      <c r="BC68" s="60">
        <v>37.44</v>
      </c>
      <c r="BD68" s="60">
        <v>34.82</v>
      </c>
      <c r="BE68" s="60">
        <v>107.61</v>
      </c>
      <c r="BF68" s="60">
        <v>6.5</v>
      </c>
      <c r="BG68" s="60"/>
      <c r="BH68" s="80">
        <f t="shared" si="71"/>
        <v>849.0210627806714</v>
      </c>
      <c r="BI68" s="60">
        <f t="shared" si="20"/>
        <v>51.946260879918782</v>
      </c>
      <c r="BJ68" s="80">
        <f t="shared" si="76"/>
        <v>923.48602775203494</v>
      </c>
      <c r="BK68" s="102">
        <f t="shared" si="77"/>
        <v>817.07411233952132</v>
      </c>
      <c r="BL68" s="14"/>
      <c r="BM68" s="43"/>
      <c r="BN68" s="33"/>
      <c r="BR68" s="127"/>
    </row>
    <row r="69" spans="1:70" ht="63" x14ac:dyDescent="0.25">
      <c r="A69" s="37" t="s">
        <v>139</v>
      </c>
      <c r="B69" s="156" t="s">
        <v>296</v>
      </c>
      <c r="C69" s="156" t="s">
        <v>297</v>
      </c>
      <c r="D69" s="156" t="s">
        <v>311</v>
      </c>
      <c r="E69" s="156">
        <v>5</v>
      </c>
      <c r="F69" s="156">
        <v>79.069999999999993</v>
      </c>
      <c r="G69" s="156">
        <v>6</v>
      </c>
      <c r="H69" s="101">
        <f t="shared" si="55"/>
        <v>4.7441999999999993</v>
      </c>
      <c r="I69" s="156"/>
      <c r="J69" s="156">
        <f t="shared" si="56"/>
        <v>0</v>
      </c>
      <c r="K69" s="156">
        <v>40</v>
      </c>
      <c r="L69" s="156">
        <f t="shared" si="57"/>
        <v>31.627999999999997</v>
      </c>
      <c r="M69" s="156">
        <v>3.31</v>
      </c>
      <c r="N69" s="156">
        <v>25</v>
      </c>
      <c r="O69" s="156">
        <f t="shared" si="58"/>
        <v>19.767499999999998</v>
      </c>
      <c r="P69" s="156"/>
      <c r="Q69" s="156"/>
      <c r="R69" s="156">
        <v>40</v>
      </c>
      <c r="S69" s="156">
        <f t="shared" si="59"/>
        <v>55.407880000000006</v>
      </c>
      <c r="T69" s="156">
        <v>30</v>
      </c>
      <c r="U69" s="156">
        <f t="shared" si="60"/>
        <v>58.178274000000002</v>
      </c>
      <c r="V69" s="156">
        <v>30</v>
      </c>
      <c r="W69" s="156">
        <f t="shared" si="61"/>
        <v>58.178274000000002</v>
      </c>
      <c r="X69" s="60">
        <f t="shared" si="62"/>
        <v>310.28412800000001</v>
      </c>
      <c r="Y69" s="60">
        <f t="shared" si="54"/>
        <v>1.5228426395939085</v>
      </c>
      <c r="Z69" s="60">
        <f t="shared" si="81"/>
        <v>13.297891199999999</v>
      </c>
      <c r="AA69" s="60">
        <f t="shared" si="64"/>
        <v>21.719888960000002</v>
      </c>
      <c r="AB69" s="60">
        <f t="shared" si="65"/>
        <v>346.82475079959391</v>
      </c>
      <c r="AC69" s="60">
        <f t="shared" si="34"/>
        <v>104.74107474147736</v>
      </c>
      <c r="AD69" s="60">
        <f t="shared" si="12"/>
        <v>42.65944434835005</v>
      </c>
      <c r="AE69" s="60">
        <f t="shared" si="13"/>
        <v>30.069705894324791</v>
      </c>
      <c r="AF69" s="60" t="s">
        <v>83</v>
      </c>
      <c r="AG69" s="159">
        <v>30.677966000000001</v>
      </c>
      <c r="AH69" s="60">
        <v>32</v>
      </c>
      <c r="AI69" s="60">
        <v>40.64</v>
      </c>
      <c r="AJ69" s="60">
        <v>41.28</v>
      </c>
      <c r="AK69" s="60">
        <v>44.16</v>
      </c>
      <c r="AL69" s="60">
        <f t="shared" si="14"/>
        <v>41.68</v>
      </c>
      <c r="AM69" s="60">
        <f t="shared" si="78"/>
        <v>294.09125326240002</v>
      </c>
      <c r="AN69" s="60" t="s">
        <v>170</v>
      </c>
      <c r="AO69" s="60">
        <v>8</v>
      </c>
      <c r="AP69" s="60">
        <v>0.1</v>
      </c>
      <c r="AQ69" s="60">
        <f>AO69*AP69*AG69</f>
        <v>24.542372800000003</v>
      </c>
      <c r="AR69" s="60">
        <f t="shared" si="68"/>
        <v>318.63362606240003</v>
      </c>
      <c r="AS69" s="60" t="s">
        <v>172</v>
      </c>
      <c r="AT69" s="60">
        <v>63.56</v>
      </c>
      <c r="AU69" s="60">
        <v>3.2</v>
      </c>
      <c r="AV69" s="60">
        <f t="shared" si="79"/>
        <v>19.497970688000002</v>
      </c>
      <c r="AW69" s="60">
        <v>50000</v>
      </c>
      <c r="AX69" s="60">
        <v>23</v>
      </c>
      <c r="AY69" s="60" t="s">
        <v>180</v>
      </c>
      <c r="AZ69" s="60">
        <v>5000</v>
      </c>
      <c r="BA69" s="80">
        <v>10</v>
      </c>
      <c r="BB69" s="60">
        <f t="shared" si="80"/>
        <v>23</v>
      </c>
      <c r="BC69" s="60">
        <v>37.44</v>
      </c>
      <c r="BD69" s="60">
        <v>34.82</v>
      </c>
      <c r="BE69" s="60">
        <v>0</v>
      </c>
      <c r="BF69" s="60">
        <v>6.5</v>
      </c>
      <c r="BG69" s="60"/>
      <c r="BH69" s="80">
        <f t="shared" si="71"/>
        <v>934.1168666398213</v>
      </c>
      <c r="BI69" s="60">
        <f t="shared" si="20"/>
        <v>69.364950159918791</v>
      </c>
      <c r="BJ69" s="80">
        <f t="shared" si="76"/>
        <v>1033.5515226940649</v>
      </c>
      <c r="BK69" s="102">
        <f t="shared" si="77"/>
        <v>891.45742229147129</v>
      </c>
      <c r="BL69" s="14"/>
      <c r="BM69" s="43"/>
      <c r="BN69" s="33"/>
      <c r="BR69" s="127"/>
    </row>
    <row r="70" spans="1:70" ht="63" x14ac:dyDescent="0.25">
      <c r="A70" s="37" t="s">
        <v>140</v>
      </c>
      <c r="B70" s="156" t="s">
        <v>294</v>
      </c>
      <c r="C70" s="156" t="s">
        <v>332</v>
      </c>
      <c r="D70" s="156" t="s">
        <v>311</v>
      </c>
      <c r="E70" s="156">
        <v>5</v>
      </c>
      <c r="F70" s="156">
        <v>79.069999999999993</v>
      </c>
      <c r="G70" s="156">
        <v>6</v>
      </c>
      <c r="H70" s="101">
        <f t="shared" si="55"/>
        <v>4.7441999999999993</v>
      </c>
      <c r="I70" s="156"/>
      <c r="J70" s="156">
        <f t="shared" si="56"/>
        <v>0</v>
      </c>
      <c r="K70" s="156"/>
      <c r="L70" s="156">
        <f t="shared" si="57"/>
        <v>0</v>
      </c>
      <c r="M70" s="156"/>
      <c r="N70" s="156">
        <v>25</v>
      </c>
      <c r="O70" s="156">
        <f t="shared" si="58"/>
        <v>19.767499999999998</v>
      </c>
      <c r="P70" s="156"/>
      <c r="Q70" s="156"/>
      <c r="R70" s="156">
        <v>40</v>
      </c>
      <c r="S70" s="156">
        <f t="shared" si="59"/>
        <v>41.432679999999998</v>
      </c>
      <c r="T70" s="156">
        <v>30</v>
      </c>
      <c r="U70" s="156">
        <f t="shared" si="60"/>
        <v>43.504313999999994</v>
      </c>
      <c r="V70" s="156">
        <v>30</v>
      </c>
      <c r="W70" s="156">
        <f t="shared" si="61"/>
        <v>43.504313999999994</v>
      </c>
      <c r="X70" s="60">
        <f t="shared" si="62"/>
        <v>232.02300799999998</v>
      </c>
      <c r="Y70" s="60">
        <f t="shared" si="54"/>
        <v>1.5228426395939085</v>
      </c>
      <c r="Z70" s="60">
        <f t="shared" si="81"/>
        <v>9.9438431999999981</v>
      </c>
      <c r="AA70" s="60">
        <f t="shared" si="64"/>
        <v>16.241610560000002</v>
      </c>
      <c r="AB70" s="60">
        <f t="shared" si="65"/>
        <v>259.73130439959391</v>
      </c>
      <c r="AC70" s="60">
        <f t="shared" si="34"/>
        <v>78.438853928677361</v>
      </c>
      <c r="AD70" s="60">
        <f t="shared" si="12"/>
        <v>31.946950441150051</v>
      </c>
      <c r="AE70" s="60">
        <f t="shared" si="13"/>
        <v>22.518704091444793</v>
      </c>
      <c r="AF70" s="60" t="s">
        <v>83</v>
      </c>
      <c r="AG70" s="159">
        <v>30.677966000000001</v>
      </c>
      <c r="AH70" s="60">
        <v>25</v>
      </c>
      <c r="AI70" s="60">
        <v>31.75</v>
      </c>
      <c r="AJ70" s="60">
        <v>32.25</v>
      </c>
      <c r="AK70" s="60">
        <v>34.5</v>
      </c>
      <c r="AL70" s="60">
        <f t="shared" si="14"/>
        <v>32.5625</v>
      </c>
      <c r="AM70" s="60">
        <f t="shared" si="78"/>
        <v>229.75879161125005</v>
      </c>
      <c r="AN70" s="60" t="s">
        <v>170</v>
      </c>
      <c r="AO70" s="60">
        <v>8</v>
      </c>
      <c r="AP70" s="60">
        <v>0.1</v>
      </c>
      <c r="AQ70" s="60">
        <f>AO70*AP70*AG70</f>
        <v>24.542372800000003</v>
      </c>
      <c r="AR70" s="60">
        <f t="shared" si="68"/>
        <v>254.30116441125006</v>
      </c>
      <c r="AS70" s="60" t="s">
        <v>172</v>
      </c>
      <c r="AT70" s="60">
        <v>63.56</v>
      </c>
      <c r="AU70" s="60">
        <v>3.2</v>
      </c>
      <c r="AV70" s="60">
        <f t="shared" si="79"/>
        <v>15.232789600000002</v>
      </c>
      <c r="AW70" s="60">
        <v>50000</v>
      </c>
      <c r="AX70" s="60">
        <v>23</v>
      </c>
      <c r="AY70" s="60" t="s">
        <v>180</v>
      </c>
      <c r="AZ70" s="60">
        <v>5000</v>
      </c>
      <c r="BA70" s="80">
        <v>10</v>
      </c>
      <c r="BB70" s="60">
        <f t="shared" ref="BB70:BB76" si="82">AZ70*BA70/AW70*AX70</f>
        <v>23</v>
      </c>
      <c r="BC70" s="60">
        <v>37.44</v>
      </c>
      <c r="BD70" s="60">
        <v>34.82</v>
      </c>
      <c r="BE70" s="60">
        <v>107.61</v>
      </c>
      <c r="BF70" s="60">
        <v>6.5</v>
      </c>
      <c r="BG70" s="60"/>
      <c r="BH70" s="80">
        <f t="shared" ref="BH70:BH76" si="83">AB70+AC70+AD70+AR70+AV70+BB70+BC70+BD70+BE70+BF70+BG70</f>
        <v>849.0210627806714</v>
      </c>
      <c r="BI70" s="60">
        <f t="shared" si="20"/>
        <v>51.946260879918782</v>
      </c>
      <c r="BJ70" s="80">
        <f t="shared" si="76"/>
        <v>923.48602775203494</v>
      </c>
      <c r="BK70" s="102">
        <f t="shared" ref="BK70:BK76" si="84">BH70-AD70</f>
        <v>817.07411233952132</v>
      </c>
      <c r="BL70" s="14"/>
      <c r="BM70" s="43"/>
      <c r="BN70" s="33"/>
      <c r="BR70" s="127"/>
    </row>
    <row r="71" spans="1:70" ht="63" x14ac:dyDescent="0.25">
      <c r="A71" s="37" t="s">
        <v>141</v>
      </c>
      <c r="B71" s="156" t="s">
        <v>296</v>
      </c>
      <c r="C71" s="156" t="s">
        <v>333</v>
      </c>
      <c r="D71" s="156" t="s">
        <v>311</v>
      </c>
      <c r="E71" s="156">
        <v>5</v>
      </c>
      <c r="F71" s="156">
        <v>79.069999999999993</v>
      </c>
      <c r="G71" s="156">
        <v>6</v>
      </c>
      <c r="H71" s="101">
        <f t="shared" si="55"/>
        <v>4.7441999999999993</v>
      </c>
      <c r="I71" s="156"/>
      <c r="J71" s="156">
        <f t="shared" si="56"/>
        <v>0</v>
      </c>
      <c r="K71" s="156"/>
      <c r="L71" s="156">
        <f t="shared" si="57"/>
        <v>0</v>
      </c>
      <c r="M71" s="156"/>
      <c r="N71" s="156">
        <v>25</v>
      </c>
      <c r="O71" s="156">
        <f t="shared" si="58"/>
        <v>19.767499999999998</v>
      </c>
      <c r="P71" s="156"/>
      <c r="Q71" s="156"/>
      <c r="R71" s="156">
        <v>40</v>
      </c>
      <c r="S71" s="156">
        <f t="shared" si="59"/>
        <v>41.432679999999998</v>
      </c>
      <c r="T71" s="156">
        <v>30</v>
      </c>
      <c r="U71" s="156">
        <f t="shared" si="60"/>
        <v>43.504313999999994</v>
      </c>
      <c r="V71" s="156">
        <v>30</v>
      </c>
      <c r="W71" s="156">
        <f t="shared" si="61"/>
        <v>43.504313999999994</v>
      </c>
      <c r="X71" s="60">
        <f t="shared" si="62"/>
        <v>232.02300799999998</v>
      </c>
      <c r="Y71" s="60">
        <f t="shared" si="54"/>
        <v>1.5228426395939085</v>
      </c>
      <c r="Z71" s="60">
        <f t="shared" si="81"/>
        <v>9.9438431999999981</v>
      </c>
      <c r="AA71" s="60">
        <f t="shared" si="64"/>
        <v>16.241610560000002</v>
      </c>
      <c r="AB71" s="60">
        <f t="shared" si="65"/>
        <v>259.73130439959391</v>
      </c>
      <c r="AC71" s="60">
        <f t="shared" si="34"/>
        <v>78.438853928677361</v>
      </c>
      <c r="AD71" s="60">
        <f t="shared" si="12"/>
        <v>31.946950441150051</v>
      </c>
      <c r="AE71" s="60">
        <f t="shared" si="13"/>
        <v>22.518704091444793</v>
      </c>
      <c r="AF71" s="60" t="s">
        <v>83</v>
      </c>
      <c r="AG71" s="159">
        <v>30.677966000000001</v>
      </c>
      <c r="AH71" s="60">
        <v>32</v>
      </c>
      <c r="AI71" s="60">
        <v>40.64</v>
      </c>
      <c r="AJ71" s="60">
        <v>41.28</v>
      </c>
      <c r="AK71" s="60">
        <v>44.16</v>
      </c>
      <c r="AL71" s="60">
        <f t="shared" si="14"/>
        <v>41.68</v>
      </c>
      <c r="AM71" s="60">
        <f t="shared" si="78"/>
        <v>294.09125326240002</v>
      </c>
      <c r="AN71" s="60" t="s">
        <v>170</v>
      </c>
      <c r="AO71" s="60">
        <v>8</v>
      </c>
      <c r="AP71" s="60">
        <v>0.1</v>
      </c>
      <c r="AQ71" s="60">
        <f>AO71*AP71*AG71</f>
        <v>24.542372800000003</v>
      </c>
      <c r="AR71" s="60">
        <f t="shared" si="68"/>
        <v>318.63362606240003</v>
      </c>
      <c r="AS71" s="60" t="s">
        <v>172</v>
      </c>
      <c r="AT71" s="60">
        <v>63.56</v>
      </c>
      <c r="AU71" s="60">
        <v>3.2</v>
      </c>
      <c r="AV71" s="60">
        <f t="shared" si="79"/>
        <v>19.497970688000002</v>
      </c>
      <c r="AW71" s="60">
        <v>50000</v>
      </c>
      <c r="AX71" s="60">
        <v>23</v>
      </c>
      <c r="AY71" s="60" t="s">
        <v>180</v>
      </c>
      <c r="AZ71" s="60">
        <v>5000</v>
      </c>
      <c r="BA71" s="80">
        <v>10</v>
      </c>
      <c r="BB71" s="60">
        <f t="shared" si="82"/>
        <v>23</v>
      </c>
      <c r="BC71" s="60">
        <v>37.44</v>
      </c>
      <c r="BD71" s="60">
        <v>34.82</v>
      </c>
      <c r="BE71" s="60">
        <v>0</v>
      </c>
      <c r="BF71" s="60">
        <v>6.5</v>
      </c>
      <c r="BG71" s="60"/>
      <c r="BH71" s="80">
        <f t="shared" si="83"/>
        <v>810.00870551982132</v>
      </c>
      <c r="BI71" s="60">
        <f t="shared" si="20"/>
        <v>51.946260879918782</v>
      </c>
      <c r="BJ71" s="80">
        <f t="shared" si="76"/>
        <v>884.47367049118486</v>
      </c>
      <c r="BK71" s="102">
        <f t="shared" si="84"/>
        <v>778.06175507867124</v>
      </c>
      <c r="BL71" s="14"/>
      <c r="BM71" s="43"/>
      <c r="BN71" s="33"/>
      <c r="BR71" s="127"/>
    </row>
    <row r="72" spans="1:70" ht="78.75" x14ac:dyDescent="0.25">
      <c r="A72" s="37" t="s">
        <v>142</v>
      </c>
      <c r="B72" s="156" t="s">
        <v>334</v>
      </c>
      <c r="C72" s="156" t="s">
        <v>335</v>
      </c>
      <c r="D72" s="156" t="s">
        <v>311</v>
      </c>
      <c r="E72" s="156">
        <v>5</v>
      </c>
      <c r="F72" s="156">
        <v>79.069999999999993</v>
      </c>
      <c r="G72" s="156">
        <v>0</v>
      </c>
      <c r="H72" s="156">
        <f t="shared" si="55"/>
        <v>0</v>
      </c>
      <c r="I72" s="156"/>
      <c r="J72" s="156">
        <f t="shared" si="56"/>
        <v>0</v>
      </c>
      <c r="K72" s="156"/>
      <c r="L72" s="156">
        <f t="shared" si="57"/>
        <v>0</v>
      </c>
      <c r="M72" s="156"/>
      <c r="N72" s="156">
        <v>25</v>
      </c>
      <c r="O72" s="156">
        <f t="shared" si="58"/>
        <v>19.767499999999998</v>
      </c>
      <c r="P72" s="156"/>
      <c r="Q72" s="156"/>
      <c r="R72" s="156">
        <v>40</v>
      </c>
      <c r="S72" s="156">
        <f t="shared" si="59"/>
        <v>39.534999999999997</v>
      </c>
      <c r="T72" s="156">
        <v>30</v>
      </c>
      <c r="U72" s="156">
        <f t="shared" si="60"/>
        <v>41.511749999999999</v>
      </c>
      <c r="V72" s="156">
        <v>30</v>
      </c>
      <c r="W72" s="156">
        <f t="shared" si="61"/>
        <v>41.511749999999999</v>
      </c>
      <c r="X72" s="60">
        <f t="shared" si="62"/>
        <v>221.39600000000002</v>
      </c>
      <c r="Y72" s="60">
        <f t="shared" si="54"/>
        <v>1.5228426395939085</v>
      </c>
      <c r="Z72" s="60">
        <f t="shared" si="81"/>
        <v>9.4884000000000004</v>
      </c>
      <c r="AA72" s="60">
        <f t="shared" si="64"/>
        <v>15.497720000000003</v>
      </c>
      <c r="AB72" s="60">
        <f t="shared" si="65"/>
        <v>247.90496263959395</v>
      </c>
      <c r="AC72" s="60">
        <f t="shared" si="34"/>
        <v>74.867298717157368</v>
      </c>
      <c r="AD72" s="60">
        <f t="shared" si="12"/>
        <v>30.492310404670054</v>
      </c>
      <c r="AE72" s="60">
        <f t="shared" si="13"/>
        <v>21.493360260852796</v>
      </c>
      <c r="AF72" s="60" t="s">
        <v>83</v>
      </c>
      <c r="AG72" s="159">
        <v>30.677966000000001</v>
      </c>
      <c r="AH72" s="60">
        <v>32</v>
      </c>
      <c r="AI72" s="60">
        <v>43.84</v>
      </c>
      <c r="AJ72" s="60">
        <v>44.480000000000004</v>
      </c>
      <c r="AK72" s="60">
        <v>47.36</v>
      </c>
      <c r="AL72" s="60">
        <f t="shared" si="14"/>
        <v>44.879999999999995</v>
      </c>
      <c r="AM72" s="60">
        <f t="shared" si="78"/>
        <v>316.67023623839998</v>
      </c>
      <c r="AN72" s="60" t="s">
        <v>353</v>
      </c>
      <c r="AO72" s="60">
        <v>6.4</v>
      </c>
      <c r="AP72" s="60">
        <v>0.4</v>
      </c>
      <c r="AQ72" s="60">
        <f t="shared" ref="AQ72:AQ82" si="85">AG72*AO72*AP72</f>
        <v>78.535592960000017</v>
      </c>
      <c r="AR72" s="60">
        <f t="shared" si="68"/>
        <v>395.20582919840001</v>
      </c>
      <c r="AS72" s="60" t="s">
        <v>172</v>
      </c>
      <c r="AT72" s="60">
        <v>63.56</v>
      </c>
      <c r="AU72" s="60">
        <v>3.2</v>
      </c>
      <c r="AV72" s="60">
        <f t="shared" si="79"/>
        <v>20.994935808000001</v>
      </c>
      <c r="AW72" s="60">
        <v>50000</v>
      </c>
      <c r="AX72" s="60">
        <v>23</v>
      </c>
      <c r="AY72" s="60" t="s">
        <v>180</v>
      </c>
      <c r="AZ72" s="60">
        <v>5000</v>
      </c>
      <c r="BA72" s="80">
        <v>10</v>
      </c>
      <c r="BB72" s="60">
        <f t="shared" si="82"/>
        <v>23</v>
      </c>
      <c r="BC72" s="60">
        <v>37.44</v>
      </c>
      <c r="BD72" s="60">
        <v>34.82</v>
      </c>
      <c r="BE72" s="60">
        <v>732.57</v>
      </c>
      <c r="BF72" s="60">
        <v>6.5</v>
      </c>
      <c r="BG72" s="60"/>
      <c r="BH72" s="80">
        <f t="shared" si="83"/>
        <v>1603.7953367678215</v>
      </c>
      <c r="BI72" s="60">
        <f t="shared" si="20"/>
        <v>49.580992527918795</v>
      </c>
      <c r="BJ72" s="80">
        <f t="shared" si="76"/>
        <v>1674.8696895565931</v>
      </c>
      <c r="BK72" s="102">
        <f t="shared" si="84"/>
        <v>1573.3030263631515</v>
      </c>
      <c r="BL72" s="14"/>
      <c r="BM72" s="43"/>
      <c r="BN72" s="33"/>
      <c r="BR72" s="127"/>
    </row>
    <row r="73" spans="1:70" ht="78.75" x14ac:dyDescent="0.25">
      <c r="A73" s="37" t="s">
        <v>143</v>
      </c>
      <c r="B73" s="156" t="s">
        <v>334</v>
      </c>
      <c r="C73" s="156" t="s">
        <v>336</v>
      </c>
      <c r="D73" s="156" t="s">
        <v>311</v>
      </c>
      <c r="E73" s="156">
        <v>5</v>
      </c>
      <c r="F73" s="156">
        <v>79.069999999999993</v>
      </c>
      <c r="G73" s="156">
        <v>0</v>
      </c>
      <c r="H73" s="156">
        <f t="shared" si="55"/>
        <v>0</v>
      </c>
      <c r="I73" s="156"/>
      <c r="J73" s="156">
        <f t="shared" si="56"/>
        <v>0</v>
      </c>
      <c r="K73" s="156"/>
      <c r="L73" s="156">
        <f t="shared" si="57"/>
        <v>0</v>
      </c>
      <c r="M73" s="156"/>
      <c r="N73" s="156">
        <v>25</v>
      </c>
      <c r="O73" s="156">
        <f t="shared" si="58"/>
        <v>19.767499999999998</v>
      </c>
      <c r="P73" s="156"/>
      <c r="Q73" s="156"/>
      <c r="R73" s="156">
        <v>40</v>
      </c>
      <c r="S73" s="156">
        <f t="shared" si="59"/>
        <v>39.534999999999997</v>
      </c>
      <c r="T73" s="156">
        <v>30</v>
      </c>
      <c r="U73" s="156">
        <f t="shared" si="60"/>
        <v>41.511749999999999</v>
      </c>
      <c r="V73" s="156">
        <v>30</v>
      </c>
      <c r="W73" s="156">
        <f t="shared" si="61"/>
        <v>41.511749999999999</v>
      </c>
      <c r="X73" s="60">
        <f t="shared" si="62"/>
        <v>221.39600000000002</v>
      </c>
      <c r="Y73" s="60">
        <f t="shared" ref="Y73:Y101" si="86">3000/1970</f>
        <v>1.5228426395939085</v>
      </c>
      <c r="Z73" s="60">
        <f t="shared" si="81"/>
        <v>9.4884000000000004</v>
      </c>
      <c r="AA73" s="60">
        <f t="shared" si="64"/>
        <v>15.497720000000003</v>
      </c>
      <c r="AB73" s="60">
        <f t="shared" si="65"/>
        <v>247.90496263959395</v>
      </c>
      <c r="AC73" s="60">
        <f t="shared" si="34"/>
        <v>74.867298717157368</v>
      </c>
      <c r="AD73" s="60">
        <f t="shared" si="12"/>
        <v>30.492310404670054</v>
      </c>
      <c r="AE73" s="60">
        <f t="shared" si="13"/>
        <v>21.493360260852796</v>
      </c>
      <c r="AF73" s="60" t="s">
        <v>83</v>
      </c>
      <c r="AG73" s="159">
        <v>30.677966000000001</v>
      </c>
      <c r="AH73" s="60">
        <v>32</v>
      </c>
      <c r="AI73" s="60">
        <v>43.84</v>
      </c>
      <c r="AJ73" s="60">
        <v>44.480000000000004</v>
      </c>
      <c r="AK73" s="60">
        <v>47.36</v>
      </c>
      <c r="AL73" s="60">
        <f t="shared" si="14"/>
        <v>44.879999999999995</v>
      </c>
      <c r="AM73" s="60">
        <f t="shared" si="78"/>
        <v>316.67023623839998</v>
      </c>
      <c r="AN73" s="60" t="s">
        <v>353</v>
      </c>
      <c r="AO73" s="60">
        <v>6.4</v>
      </c>
      <c r="AP73" s="60">
        <v>0.4</v>
      </c>
      <c r="AQ73" s="60">
        <f t="shared" si="85"/>
        <v>78.535592960000017</v>
      </c>
      <c r="AR73" s="60">
        <f t="shared" si="68"/>
        <v>395.20582919840001</v>
      </c>
      <c r="AS73" s="60" t="s">
        <v>172</v>
      </c>
      <c r="AT73" s="60">
        <v>63.56</v>
      </c>
      <c r="AU73" s="60">
        <v>3.2</v>
      </c>
      <c r="AV73" s="60">
        <f t="shared" si="79"/>
        <v>20.994935808000001</v>
      </c>
      <c r="AW73" s="60">
        <v>50000</v>
      </c>
      <c r="AX73" s="60">
        <v>23</v>
      </c>
      <c r="AY73" s="60" t="s">
        <v>180</v>
      </c>
      <c r="AZ73" s="60">
        <v>5000</v>
      </c>
      <c r="BA73" s="80">
        <v>10</v>
      </c>
      <c r="BB73" s="60">
        <f t="shared" si="82"/>
        <v>23</v>
      </c>
      <c r="BC73" s="60">
        <v>37.44</v>
      </c>
      <c r="BD73" s="60">
        <v>34.82</v>
      </c>
      <c r="BE73" s="60">
        <v>732.57</v>
      </c>
      <c r="BF73" s="60">
        <v>6.5</v>
      </c>
      <c r="BG73" s="60"/>
      <c r="BH73" s="80">
        <f t="shared" si="83"/>
        <v>1603.7953367678215</v>
      </c>
      <c r="BI73" s="60">
        <f t="shared" ref="BI73:BI105" si="87">AB73*0.2</f>
        <v>49.580992527918795</v>
      </c>
      <c r="BJ73" s="80">
        <f t="shared" si="76"/>
        <v>1674.8696895565931</v>
      </c>
      <c r="BK73" s="102">
        <f t="shared" si="84"/>
        <v>1573.3030263631515</v>
      </c>
      <c r="BL73" s="14"/>
      <c r="BM73" s="43"/>
      <c r="BN73" s="33"/>
      <c r="BR73" s="127"/>
    </row>
    <row r="74" spans="1:70" ht="63.75" customHeight="1" x14ac:dyDescent="0.25">
      <c r="A74" s="37" t="s">
        <v>144</v>
      </c>
      <c r="B74" s="153" t="s">
        <v>466</v>
      </c>
      <c r="C74" s="39" t="s">
        <v>469</v>
      </c>
      <c r="D74" s="156" t="s">
        <v>311</v>
      </c>
      <c r="E74" s="156">
        <v>5</v>
      </c>
      <c r="F74" s="156">
        <v>71.16</v>
      </c>
      <c r="G74" s="156">
        <v>0</v>
      </c>
      <c r="H74" s="101">
        <f>F74*G74/100</f>
        <v>0</v>
      </c>
      <c r="I74" s="156"/>
      <c r="J74" s="156">
        <f>F74*I74/100</f>
        <v>0</v>
      </c>
      <c r="K74" s="156"/>
      <c r="L74" s="156">
        <f>F74*K74/100</f>
        <v>0</v>
      </c>
      <c r="M74" s="156"/>
      <c r="N74" s="156">
        <v>25</v>
      </c>
      <c r="O74" s="156">
        <f>F74*N74/100</f>
        <v>17.79</v>
      </c>
      <c r="P74" s="156"/>
      <c r="Q74" s="156"/>
      <c r="R74" s="156">
        <v>40</v>
      </c>
      <c r="S74" s="156">
        <f>(F74+H74+J74+L74+M74+O74+Q74)*R74/100</f>
        <v>35.58</v>
      </c>
      <c r="T74" s="156">
        <v>30</v>
      </c>
      <c r="U74" s="156">
        <f>(F74+H74+J74+L74+M74+O74+Q74+S74)*30/100</f>
        <v>37.358999999999995</v>
      </c>
      <c r="V74" s="156">
        <v>30</v>
      </c>
      <c r="W74" s="156">
        <f>U74</f>
        <v>37.358999999999995</v>
      </c>
      <c r="X74" s="60">
        <f>F74+H74+J74+L74+M74+O74+Q74+S74+U74+W74</f>
        <v>199.24799999999999</v>
      </c>
      <c r="Y74" s="60">
        <f>3000/1970</f>
        <v>1.5228426395939085</v>
      </c>
      <c r="Z74" s="60">
        <f>(X74-S74*1.6)*0.06</f>
        <v>8.5391999999999992</v>
      </c>
      <c r="AA74" s="60">
        <f>X74*0.07</f>
        <v>13.947360000000002</v>
      </c>
      <c r="AB74" s="60">
        <f>X74+Y74+Z74+AA74</f>
        <v>223.25740263959389</v>
      </c>
      <c r="AC74" s="60">
        <f>AB74*0.302</f>
        <v>67.423735597157346</v>
      </c>
      <c r="AD74" s="60">
        <f t="shared" si="12"/>
        <v>27.460660524670047</v>
      </c>
      <c r="AE74" s="60">
        <f t="shared" si="13"/>
        <v>19.356416808852792</v>
      </c>
      <c r="AF74" s="60" t="s">
        <v>83</v>
      </c>
      <c r="AG74" s="159">
        <v>30.677966000000001</v>
      </c>
      <c r="AH74" s="60">
        <v>27</v>
      </c>
      <c r="AI74" s="60">
        <v>34.29</v>
      </c>
      <c r="AJ74" s="60">
        <v>34.83</v>
      </c>
      <c r="AK74" s="60">
        <v>37.26</v>
      </c>
      <c r="AL74" s="60">
        <f>(AI74*6+AJ74*3+AK74*3)/12</f>
        <v>35.167499999999997</v>
      </c>
      <c r="AM74" s="60">
        <f>AG74*AL74/100*23</f>
        <v>248.13949494015003</v>
      </c>
      <c r="AN74" s="60" t="s">
        <v>170</v>
      </c>
      <c r="AO74" s="60">
        <v>5.9</v>
      </c>
      <c r="AP74" s="60">
        <v>0.1</v>
      </c>
      <c r="AQ74" s="60">
        <f>AO74*AP74*AG74</f>
        <v>18.099999940000004</v>
      </c>
      <c r="AR74" s="60">
        <f>AM74+AQ74</f>
        <v>266.23949488015</v>
      </c>
      <c r="AS74" s="60" t="s">
        <v>172</v>
      </c>
      <c r="AT74" s="60">
        <v>63.56</v>
      </c>
      <c r="AU74" s="60">
        <v>3.36</v>
      </c>
      <c r="AV74" s="60">
        <f>AL74/100*23*AU74/100*AT74</f>
        <v>17.273983406399996</v>
      </c>
      <c r="AW74" s="60">
        <v>50000</v>
      </c>
      <c r="AX74" s="80">
        <v>23</v>
      </c>
      <c r="AY74" s="60" t="s">
        <v>181</v>
      </c>
      <c r="AZ74" s="60">
        <v>5788.14</v>
      </c>
      <c r="BA74" s="80">
        <v>10</v>
      </c>
      <c r="BB74" s="60">
        <f t="shared" si="82"/>
        <v>26.625444000000002</v>
      </c>
      <c r="BC74" s="60">
        <v>37.44</v>
      </c>
      <c r="BD74" s="60">
        <v>34.82</v>
      </c>
      <c r="BE74" s="60">
        <f>4484978.38/1.18/36*12/1973</f>
        <v>642.14041824518006</v>
      </c>
      <c r="BF74" s="60">
        <v>6.5</v>
      </c>
      <c r="BG74" s="60"/>
      <c r="BH74" s="80">
        <f t="shared" si="83"/>
        <v>1349.1811392931515</v>
      </c>
      <c r="BI74" s="60">
        <f>AB74*0.2</f>
        <v>44.651480527918778</v>
      </c>
      <c r="BJ74" s="80">
        <f>BH74+AE74+BI74</f>
        <v>1413.1890366299231</v>
      </c>
      <c r="BK74" s="102">
        <f t="shared" si="84"/>
        <v>1321.7204787684816</v>
      </c>
      <c r="BL74" s="14"/>
      <c r="BM74" s="43"/>
      <c r="BN74" s="33"/>
      <c r="BR74" s="127"/>
    </row>
    <row r="75" spans="1:70" ht="76.5" customHeight="1" x14ac:dyDescent="0.25">
      <c r="A75" s="37" t="s">
        <v>146</v>
      </c>
      <c r="B75" s="161" t="s">
        <v>474</v>
      </c>
      <c r="C75" s="156" t="s">
        <v>475</v>
      </c>
      <c r="D75" s="156" t="s">
        <v>311</v>
      </c>
      <c r="E75" s="156">
        <v>5</v>
      </c>
      <c r="F75" s="156">
        <v>79.069999999999993</v>
      </c>
      <c r="G75" s="45">
        <v>4</v>
      </c>
      <c r="H75" s="101">
        <f>F75*G75/100</f>
        <v>3.1627999999999998</v>
      </c>
      <c r="I75" s="156"/>
      <c r="J75" s="156">
        <f>F75*I75/100</f>
        <v>0</v>
      </c>
      <c r="K75" s="156">
        <v>0</v>
      </c>
      <c r="L75" s="156">
        <f>F75*K75/100</f>
        <v>0</v>
      </c>
      <c r="M75" s="156">
        <v>0</v>
      </c>
      <c r="N75" s="156">
        <v>25</v>
      </c>
      <c r="O75" s="156">
        <f>F75*N75/100</f>
        <v>19.767499999999998</v>
      </c>
      <c r="P75" s="156"/>
      <c r="Q75" s="156"/>
      <c r="R75" s="156">
        <v>40</v>
      </c>
      <c r="S75" s="156">
        <f>(F75+H75+J75+L75+M75+O75+Q75)*R75/100</f>
        <v>40.80012</v>
      </c>
      <c r="T75" s="156">
        <v>30</v>
      </c>
      <c r="U75" s="156">
        <f>(F75+H75+J75+L75+M75+O75+Q75+S75)*30/100</f>
        <v>42.840125999999998</v>
      </c>
      <c r="V75" s="156">
        <v>30</v>
      </c>
      <c r="W75" s="156">
        <f>U75</f>
        <v>42.840125999999998</v>
      </c>
      <c r="X75" s="60">
        <f>F75+H75+J75+L75+M75+O75+Q75+S75+U75+W75</f>
        <v>228.480672</v>
      </c>
      <c r="Y75" s="60">
        <f>3000/1974</f>
        <v>1.5197568389057752</v>
      </c>
      <c r="Z75" s="60">
        <f>(X75-S75*1.6)*0.06</f>
        <v>9.7920287999999989</v>
      </c>
      <c r="AA75" s="60">
        <f>X75*0.07</f>
        <v>15.993647040000001</v>
      </c>
      <c r="AB75" s="60">
        <f>X75+Y75+Z75+AA75</f>
        <v>255.78610467890579</v>
      </c>
      <c r="AC75" s="60">
        <f>AB75*0.302</f>
        <v>77.247403613029547</v>
      </c>
      <c r="AD75" s="60">
        <f t="shared" si="12"/>
        <v>31.461690875505411</v>
      </c>
      <c r="AE75" s="60">
        <f t="shared" si="13"/>
        <v>22.176655275661133</v>
      </c>
      <c r="AF75" s="60" t="s">
        <v>83</v>
      </c>
      <c r="AG75" s="159">
        <v>30.677966000000001</v>
      </c>
      <c r="AH75" s="60">
        <v>30.6</v>
      </c>
      <c r="AI75" s="60">
        <v>38.86</v>
      </c>
      <c r="AJ75" s="60">
        <v>39.47</v>
      </c>
      <c r="AK75" s="60">
        <v>42.23</v>
      </c>
      <c r="AL75" s="60">
        <f>(AI75*6+AJ75*3+AK75*3)/12</f>
        <v>39.854999999999997</v>
      </c>
      <c r="AM75" s="60">
        <f>AG75*AL75/100*23</f>
        <v>281.2141770339</v>
      </c>
      <c r="AN75" s="60" t="s">
        <v>170</v>
      </c>
      <c r="AO75" s="60">
        <v>8.0050000000000008</v>
      </c>
      <c r="AP75" s="60">
        <v>0.2</v>
      </c>
      <c r="AQ75" s="60">
        <f>AO75*AP75*AG75</f>
        <v>49.115423566000011</v>
      </c>
      <c r="AR75" s="60">
        <f>AM75+AQ75</f>
        <v>330.3296005999</v>
      </c>
      <c r="AS75" s="60" t="s">
        <v>172</v>
      </c>
      <c r="AT75" s="60">
        <v>63.56</v>
      </c>
      <c r="AU75" s="60">
        <v>2.8</v>
      </c>
      <c r="AV75" s="60">
        <f>AL75/100*23*AU75/100*AT75</f>
        <v>16.313703671999999</v>
      </c>
      <c r="AW75" s="60">
        <v>50000</v>
      </c>
      <c r="AX75" s="80">
        <v>23</v>
      </c>
      <c r="AY75" s="60" t="s">
        <v>179</v>
      </c>
      <c r="AZ75" s="60">
        <v>7523.73</v>
      </c>
      <c r="BA75" s="80">
        <v>11</v>
      </c>
      <c r="BB75" s="60">
        <f t="shared" si="82"/>
        <v>38.070073800000003</v>
      </c>
      <c r="BC75" s="60">
        <v>37.44</v>
      </c>
      <c r="BD75" s="60">
        <v>34.82</v>
      </c>
      <c r="BE75" s="60">
        <f>1187067/1973</f>
        <v>601.65585402939689</v>
      </c>
      <c r="BF75" s="60">
        <v>6.5</v>
      </c>
      <c r="BG75" s="60"/>
      <c r="BH75" s="80">
        <f t="shared" si="83"/>
        <v>1429.6244312687377</v>
      </c>
      <c r="BI75" s="60">
        <f>AB75*0.2</f>
        <v>51.157220935781162</v>
      </c>
      <c r="BJ75" s="80">
        <f>BH75+AE75+BI75</f>
        <v>1502.9583074801801</v>
      </c>
      <c r="BK75" s="102">
        <f t="shared" si="84"/>
        <v>1398.1627403932323</v>
      </c>
      <c r="BL75" s="14"/>
      <c r="BM75" s="43"/>
      <c r="BN75" s="33"/>
      <c r="BR75" s="127"/>
    </row>
    <row r="76" spans="1:70" ht="78.75" x14ac:dyDescent="0.25">
      <c r="A76" s="37" t="s">
        <v>147</v>
      </c>
      <c r="B76" s="156" t="s">
        <v>355</v>
      </c>
      <c r="C76" s="156" t="s">
        <v>356</v>
      </c>
      <c r="D76" s="156" t="s">
        <v>311</v>
      </c>
      <c r="E76" s="156">
        <v>5</v>
      </c>
      <c r="F76" s="156">
        <v>79.069999999999993</v>
      </c>
      <c r="G76" s="156">
        <v>0</v>
      </c>
      <c r="H76" s="156">
        <f t="shared" si="55"/>
        <v>0</v>
      </c>
      <c r="I76" s="156"/>
      <c r="J76" s="156">
        <f t="shared" si="56"/>
        <v>0</v>
      </c>
      <c r="K76" s="156"/>
      <c r="L76" s="156">
        <f t="shared" si="57"/>
        <v>0</v>
      </c>
      <c r="M76" s="156"/>
      <c r="N76" s="156">
        <v>25</v>
      </c>
      <c r="O76" s="156">
        <f t="shared" si="58"/>
        <v>19.767499999999998</v>
      </c>
      <c r="P76" s="156"/>
      <c r="Q76" s="156"/>
      <c r="R76" s="156">
        <v>40</v>
      </c>
      <c r="S76" s="156">
        <f t="shared" si="59"/>
        <v>39.534999999999997</v>
      </c>
      <c r="T76" s="156">
        <v>30</v>
      </c>
      <c r="U76" s="156">
        <f t="shared" si="60"/>
        <v>41.511749999999999</v>
      </c>
      <c r="V76" s="156">
        <v>30</v>
      </c>
      <c r="W76" s="156">
        <f t="shared" si="61"/>
        <v>41.511749999999999</v>
      </c>
      <c r="X76" s="60">
        <f t="shared" si="62"/>
        <v>221.39600000000002</v>
      </c>
      <c r="Y76" s="60">
        <f t="shared" si="86"/>
        <v>1.5228426395939085</v>
      </c>
      <c r="Z76" s="60">
        <f t="shared" ref="Z76:Z82" si="88">X76*0.06</f>
        <v>13.283760000000001</v>
      </c>
      <c r="AA76" s="60">
        <f t="shared" si="64"/>
        <v>15.497720000000003</v>
      </c>
      <c r="AB76" s="60">
        <f t="shared" si="65"/>
        <v>251.70032263959394</v>
      </c>
      <c r="AC76" s="60">
        <f t="shared" si="34"/>
        <v>76.013497437157369</v>
      </c>
      <c r="AD76" s="60">
        <f t="shared" si="12"/>
        <v>30.959139684670053</v>
      </c>
      <c r="AE76" s="60">
        <f t="shared" si="13"/>
        <v>21.822417972852794</v>
      </c>
      <c r="AF76" s="60" t="s">
        <v>88</v>
      </c>
      <c r="AG76" s="159">
        <v>30.677966000000001</v>
      </c>
      <c r="AH76" s="60">
        <v>24.4</v>
      </c>
      <c r="AI76" s="60">
        <v>30.987999999999996</v>
      </c>
      <c r="AJ76" s="60">
        <v>31.475999999999996</v>
      </c>
      <c r="AK76" s="60">
        <v>33.671999999999997</v>
      </c>
      <c r="AL76" s="60">
        <f t="shared" si="14"/>
        <v>31.780999999999995</v>
      </c>
      <c r="AM76" s="60">
        <f t="shared" si="78"/>
        <v>224.24458061257997</v>
      </c>
      <c r="AN76" s="60" t="s">
        <v>170</v>
      </c>
      <c r="AO76" s="60">
        <v>15.26</v>
      </c>
      <c r="AP76" s="60">
        <v>0.2</v>
      </c>
      <c r="AQ76" s="60">
        <f t="shared" si="85"/>
        <v>93.62915223200001</v>
      </c>
      <c r="AR76" s="60">
        <f t="shared" si="68"/>
        <v>317.87373284457999</v>
      </c>
      <c r="AS76" s="60"/>
      <c r="AT76" s="60"/>
      <c r="AU76" s="60"/>
      <c r="AV76" s="60">
        <v>0</v>
      </c>
      <c r="AW76" s="60">
        <v>50000</v>
      </c>
      <c r="AX76" s="60">
        <v>23</v>
      </c>
      <c r="AY76" s="60" t="s">
        <v>359</v>
      </c>
      <c r="AZ76" s="60">
        <v>10105</v>
      </c>
      <c r="BA76" s="80">
        <v>10</v>
      </c>
      <c r="BB76" s="60">
        <f t="shared" si="82"/>
        <v>46.482999999999997</v>
      </c>
      <c r="BC76" s="60">
        <v>37.44</v>
      </c>
      <c r="BD76" s="60">
        <v>34.82</v>
      </c>
      <c r="BE76" s="60">
        <v>3095.3</v>
      </c>
      <c r="BF76" s="60">
        <v>6.5</v>
      </c>
      <c r="BG76" s="60"/>
      <c r="BH76" s="80">
        <f t="shared" si="83"/>
        <v>3897.0896926060013</v>
      </c>
      <c r="BI76" s="60">
        <f t="shared" si="87"/>
        <v>50.340064527918791</v>
      </c>
      <c r="BJ76" s="80">
        <f t="shared" si="76"/>
        <v>3969.2521751067729</v>
      </c>
      <c r="BK76" s="102">
        <f t="shared" si="84"/>
        <v>3866.1305529213314</v>
      </c>
      <c r="BL76" s="43"/>
      <c r="BM76" s="43"/>
      <c r="BN76" s="33"/>
      <c r="BR76" s="127"/>
    </row>
    <row r="77" spans="1:70" ht="78.75" x14ac:dyDescent="0.25">
      <c r="A77" s="37" t="s">
        <v>148</v>
      </c>
      <c r="B77" s="156" t="s">
        <v>255</v>
      </c>
      <c r="C77" s="156" t="s">
        <v>3</v>
      </c>
      <c r="D77" s="156" t="s">
        <v>311</v>
      </c>
      <c r="E77" s="156">
        <v>5</v>
      </c>
      <c r="F77" s="156">
        <v>79.069999999999993</v>
      </c>
      <c r="G77" s="156">
        <v>6</v>
      </c>
      <c r="H77" s="101">
        <f t="shared" si="55"/>
        <v>4.7441999999999993</v>
      </c>
      <c r="I77" s="156"/>
      <c r="J77" s="156">
        <f t="shared" si="56"/>
        <v>0</v>
      </c>
      <c r="K77" s="156"/>
      <c r="L77" s="156">
        <f t="shared" si="57"/>
        <v>0</v>
      </c>
      <c r="M77" s="156"/>
      <c r="N77" s="156">
        <v>25</v>
      </c>
      <c r="O77" s="156">
        <f t="shared" si="58"/>
        <v>19.767499999999998</v>
      </c>
      <c r="P77" s="156"/>
      <c r="Q77" s="156"/>
      <c r="R77" s="156">
        <v>40</v>
      </c>
      <c r="S77" s="156">
        <f t="shared" si="59"/>
        <v>41.432679999999998</v>
      </c>
      <c r="T77" s="156">
        <v>30</v>
      </c>
      <c r="U77" s="156">
        <f t="shared" si="60"/>
        <v>43.504313999999994</v>
      </c>
      <c r="V77" s="156">
        <v>30</v>
      </c>
      <c r="W77" s="156">
        <f t="shared" si="61"/>
        <v>43.504313999999994</v>
      </c>
      <c r="X77" s="60">
        <f t="shared" si="62"/>
        <v>232.02300799999998</v>
      </c>
      <c r="Y77" s="60">
        <f t="shared" si="86"/>
        <v>1.5228426395939085</v>
      </c>
      <c r="Z77" s="60">
        <f t="shared" si="88"/>
        <v>13.921380479999998</v>
      </c>
      <c r="AA77" s="60">
        <f t="shared" si="64"/>
        <v>16.241610560000002</v>
      </c>
      <c r="AB77" s="60">
        <f t="shared" si="65"/>
        <v>263.70884167959389</v>
      </c>
      <c r="AC77" s="60">
        <f t="shared" si="34"/>
        <v>79.640070187237356</v>
      </c>
      <c r="AD77" s="60">
        <f t="shared" si="12"/>
        <v>32.436187526590047</v>
      </c>
      <c r="AE77" s="60">
        <f t="shared" si="13"/>
        <v>22.863556573620791</v>
      </c>
      <c r="AF77" s="60" t="s">
        <v>86</v>
      </c>
      <c r="AG77" s="159">
        <v>30.677966000000001</v>
      </c>
      <c r="AH77" s="60">
        <v>31.61</v>
      </c>
      <c r="AI77" s="60">
        <v>41.093000000000004</v>
      </c>
      <c r="AJ77" s="60">
        <v>43.937900000000006</v>
      </c>
      <c r="AK77" s="60">
        <v>46.782800000000002</v>
      </c>
      <c r="AL77" s="60">
        <f t="shared" si="14"/>
        <v>43.226675</v>
      </c>
      <c r="AM77" s="60">
        <f t="shared" si="78"/>
        <v>305.00448716690153</v>
      </c>
      <c r="AN77" s="60" t="s">
        <v>170</v>
      </c>
      <c r="AO77" s="60">
        <v>8.5399999999999991</v>
      </c>
      <c r="AP77" s="60">
        <v>0.2</v>
      </c>
      <c r="AQ77" s="60">
        <f t="shared" si="85"/>
        <v>52.397965927999998</v>
      </c>
      <c r="AR77" s="60">
        <f t="shared" si="68"/>
        <v>357.40245309490155</v>
      </c>
      <c r="AS77" s="60"/>
      <c r="AT77" s="60"/>
      <c r="AU77" s="60"/>
      <c r="AV77" s="60">
        <v>0</v>
      </c>
      <c r="AW77" s="60">
        <v>50000</v>
      </c>
      <c r="AX77" s="60">
        <v>23</v>
      </c>
      <c r="AY77" s="60"/>
      <c r="AZ77" s="60"/>
      <c r="BA77" s="60"/>
      <c r="BB77" s="60">
        <f t="shared" si="80"/>
        <v>0</v>
      </c>
      <c r="BC77" s="60">
        <v>37.44</v>
      </c>
      <c r="BD77" s="60">
        <v>34.82</v>
      </c>
      <c r="BE77" s="60">
        <f>504.63</f>
        <v>504.63</v>
      </c>
      <c r="BF77" s="60">
        <v>6.5</v>
      </c>
      <c r="BG77" s="60"/>
      <c r="BH77" s="80">
        <f t="shared" ref="BH77:BH82" si="89">AB77+AC77+AD77+AR77+AV77+BB77+BC77+BD77+BE77+BF77</f>
        <v>1316.5775524883229</v>
      </c>
      <c r="BI77" s="60">
        <f t="shared" si="87"/>
        <v>52.741768335918778</v>
      </c>
      <c r="BJ77" s="80">
        <f t="shared" si="76"/>
        <v>1392.1828773978625</v>
      </c>
      <c r="BK77" s="102">
        <f t="shared" si="77"/>
        <v>1284.141364961733</v>
      </c>
      <c r="BL77" s="43"/>
      <c r="BM77" s="43"/>
      <c r="BN77" s="33"/>
      <c r="BR77" s="127"/>
    </row>
    <row r="78" spans="1:70" ht="78.75" x14ac:dyDescent="0.25">
      <c r="A78" s="37" t="s">
        <v>145</v>
      </c>
      <c r="B78" s="78" t="s">
        <v>212</v>
      </c>
      <c r="C78" s="156" t="s">
        <v>420</v>
      </c>
      <c r="D78" s="156" t="s">
        <v>311</v>
      </c>
      <c r="E78" s="156">
        <v>4</v>
      </c>
      <c r="F78" s="156">
        <v>79.069999999999993</v>
      </c>
      <c r="G78" s="156">
        <v>0</v>
      </c>
      <c r="H78" s="101">
        <f t="shared" ref="H78:H83" si="90">F78*G78/100</f>
        <v>0</v>
      </c>
      <c r="I78" s="156"/>
      <c r="J78" s="156">
        <f t="shared" ref="J78:J83" si="91">F78*I78/100</f>
        <v>0</v>
      </c>
      <c r="K78" s="156">
        <v>0</v>
      </c>
      <c r="L78" s="156">
        <f t="shared" ref="L78:L83" si="92">F78*K78/100</f>
        <v>0</v>
      </c>
      <c r="M78" s="156">
        <v>0</v>
      </c>
      <c r="N78" s="156">
        <v>0</v>
      </c>
      <c r="O78" s="156">
        <f t="shared" ref="O78:O83" si="93">F78*N78/100</f>
        <v>0</v>
      </c>
      <c r="P78" s="156"/>
      <c r="Q78" s="156"/>
      <c r="R78" s="156">
        <v>40</v>
      </c>
      <c r="S78" s="156">
        <f t="shared" ref="S78:S83" si="94">(F78+H78+J78+L78+M78+O78+Q78)*R78/100</f>
        <v>31.627999999999997</v>
      </c>
      <c r="T78" s="156">
        <v>30</v>
      </c>
      <c r="U78" s="156">
        <f t="shared" ref="U78:U83" si="95">(F78+H78+J78+L78+M78+O78+Q78+S78)*30/100</f>
        <v>33.209399999999995</v>
      </c>
      <c r="V78" s="156">
        <v>30</v>
      </c>
      <c r="W78" s="156">
        <f t="shared" ref="W78:W83" si="96">U78</f>
        <v>33.209399999999995</v>
      </c>
      <c r="X78" s="60">
        <f t="shared" ref="X78:X83" si="97">F78+H78+J78+L78+M78+O78+Q78+S78+U78+W78</f>
        <v>177.11679999999998</v>
      </c>
      <c r="Y78" s="60">
        <f t="shared" si="86"/>
        <v>1.5228426395939085</v>
      </c>
      <c r="Z78" s="60">
        <f t="shared" si="88"/>
        <v>10.627007999999998</v>
      </c>
      <c r="AA78" s="60">
        <f t="shared" ref="AA78:AA83" si="98">X78*0.07</f>
        <v>12.398175999999999</v>
      </c>
      <c r="AB78" s="60">
        <f t="shared" ref="AB78:AB83" si="99">X78+Y78+Z78+AA78</f>
        <v>201.66482663959388</v>
      </c>
      <c r="AC78" s="60">
        <f t="shared" si="34"/>
        <v>60.90277764515735</v>
      </c>
      <c r="AD78" s="60">
        <f t="shared" si="12"/>
        <v>24.804773676670049</v>
      </c>
      <c r="AE78" s="60">
        <f t="shared" si="13"/>
        <v>17.484340469652789</v>
      </c>
      <c r="AF78" s="60" t="s">
        <v>83</v>
      </c>
      <c r="AG78" s="159">
        <v>30.677966000000001</v>
      </c>
      <c r="AH78" s="60">
        <v>27.32</v>
      </c>
      <c r="AI78" s="60">
        <v>34.696399999999997</v>
      </c>
      <c r="AJ78" s="60">
        <v>35.242800000000003</v>
      </c>
      <c r="AK78" s="60">
        <v>37.701599999999992</v>
      </c>
      <c r="AL78" s="60">
        <f t="shared" ref="AL78:AL105" si="100">(AI78*6+AJ78*3+AK78*3)/12</f>
        <v>35.584299999999992</v>
      </c>
      <c r="AM78" s="60">
        <f t="shared" si="78"/>
        <v>251.08040747277391</v>
      </c>
      <c r="AN78" s="60" t="s">
        <v>240</v>
      </c>
      <c r="AO78" s="60">
        <v>6.4</v>
      </c>
      <c r="AP78" s="60">
        <v>0.4</v>
      </c>
      <c r="AQ78" s="60">
        <f t="shared" si="85"/>
        <v>78.535592960000017</v>
      </c>
      <c r="AR78" s="60">
        <f t="shared" ref="AR78:AR83" si="101">AM78+AQ78</f>
        <v>329.61600043277394</v>
      </c>
      <c r="AS78" s="60" t="s">
        <v>172</v>
      </c>
      <c r="AT78" s="60">
        <v>63.56</v>
      </c>
      <c r="AU78" s="60">
        <v>3.48</v>
      </c>
      <c r="AV78" s="60">
        <f t="shared" ref="AV78:AV83" si="102">AU78/100*AL78*0.23*AT78</f>
        <v>18.102951816431993</v>
      </c>
      <c r="AW78" s="60">
        <v>50000</v>
      </c>
      <c r="AX78" s="60">
        <v>23</v>
      </c>
      <c r="AY78" s="60" t="s">
        <v>179</v>
      </c>
      <c r="AZ78" s="60">
        <v>7523.73</v>
      </c>
      <c r="BA78" s="80">
        <v>10</v>
      </c>
      <c r="BB78" s="60">
        <f t="shared" si="80"/>
        <v>34.609157999999994</v>
      </c>
      <c r="BC78" s="60">
        <v>37.44</v>
      </c>
      <c r="BD78" s="60">
        <v>34.82</v>
      </c>
      <c r="BE78" s="60">
        <v>0</v>
      </c>
      <c r="BF78" s="60">
        <v>6.5</v>
      </c>
      <c r="BG78" s="60"/>
      <c r="BH78" s="80">
        <f t="shared" si="89"/>
        <v>748.4604882106272</v>
      </c>
      <c r="BI78" s="60">
        <f t="shared" si="87"/>
        <v>40.332965327918778</v>
      </c>
      <c r="BJ78" s="80">
        <f t="shared" ref="BJ78:BJ83" si="103">BH78+AE78+BI78</f>
        <v>806.27779400819884</v>
      </c>
      <c r="BK78" s="102">
        <f t="shared" si="77"/>
        <v>723.65571453395717</v>
      </c>
      <c r="BL78" s="43"/>
      <c r="BM78" s="43"/>
      <c r="BN78" s="33"/>
      <c r="BR78" s="127"/>
    </row>
    <row r="79" spans="1:70" ht="78.75" x14ac:dyDescent="0.25">
      <c r="A79" s="37" t="s">
        <v>149</v>
      </c>
      <c r="B79" s="78" t="s">
        <v>212</v>
      </c>
      <c r="C79" s="156" t="s">
        <v>421</v>
      </c>
      <c r="D79" s="156" t="s">
        <v>311</v>
      </c>
      <c r="E79" s="156">
        <v>4</v>
      </c>
      <c r="F79" s="156">
        <v>79.069999999999993</v>
      </c>
      <c r="G79" s="156">
        <v>0</v>
      </c>
      <c r="H79" s="101">
        <f t="shared" si="90"/>
        <v>0</v>
      </c>
      <c r="I79" s="156"/>
      <c r="J79" s="156">
        <f t="shared" si="91"/>
        <v>0</v>
      </c>
      <c r="K79" s="156">
        <v>0</v>
      </c>
      <c r="L79" s="156">
        <f t="shared" si="92"/>
        <v>0</v>
      </c>
      <c r="M79" s="156">
        <v>0</v>
      </c>
      <c r="N79" s="156">
        <v>0</v>
      </c>
      <c r="O79" s="156">
        <f t="shared" si="93"/>
        <v>0</v>
      </c>
      <c r="P79" s="156"/>
      <c r="Q79" s="156"/>
      <c r="R79" s="156">
        <v>40</v>
      </c>
      <c r="S79" s="156">
        <f t="shared" si="94"/>
        <v>31.627999999999997</v>
      </c>
      <c r="T79" s="156">
        <v>30</v>
      </c>
      <c r="U79" s="156">
        <f t="shared" si="95"/>
        <v>33.209399999999995</v>
      </c>
      <c r="V79" s="156">
        <v>30</v>
      </c>
      <c r="W79" s="156">
        <f t="shared" si="96"/>
        <v>33.209399999999995</v>
      </c>
      <c r="X79" s="60">
        <f t="shared" si="97"/>
        <v>177.11679999999998</v>
      </c>
      <c r="Y79" s="60">
        <f t="shared" si="86"/>
        <v>1.5228426395939085</v>
      </c>
      <c r="Z79" s="60">
        <f t="shared" si="88"/>
        <v>10.627007999999998</v>
      </c>
      <c r="AA79" s="60">
        <f t="shared" si="98"/>
        <v>12.398175999999999</v>
      </c>
      <c r="AB79" s="60">
        <f t="shared" si="99"/>
        <v>201.66482663959388</v>
      </c>
      <c r="AC79" s="60">
        <f t="shared" ref="AC79:AC105" si="104">AB79*0.302</f>
        <v>60.90277764515735</v>
      </c>
      <c r="AD79" s="60">
        <f t="shared" si="12"/>
        <v>24.804773676670049</v>
      </c>
      <c r="AE79" s="60">
        <f t="shared" si="13"/>
        <v>17.484340469652789</v>
      </c>
      <c r="AF79" s="60" t="s">
        <v>83</v>
      </c>
      <c r="AG79" s="159">
        <v>30.677966000000001</v>
      </c>
      <c r="AH79" s="60">
        <v>27.32</v>
      </c>
      <c r="AI79" s="60">
        <v>34.696399999999997</v>
      </c>
      <c r="AJ79" s="60">
        <v>35.242800000000003</v>
      </c>
      <c r="AK79" s="60">
        <v>37.701599999999992</v>
      </c>
      <c r="AL79" s="60">
        <f t="shared" si="100"/>
        <v>35.584299999999992</v>
      </c>
      <c r="AM79" s="60">
        <f t="shared" si="78"/>
        <v>251.08040747277391</v>
      </c>
      <c r="AN79" s="60" t="s">
        <v>240</v>
      </c>
      <c r="AO79" s="60">
        <v>6.4</v>
      </c>
      <c r="AP79" s="60">
        <v>0.4</v>
      </c>
      <c r="AQ79" s="60">
        <f t="shared" si="85"/>
        <v>78.535592960000017</v>
      </c>
      <c r="AR79" s="60">
        <f t="shared" si="101"/>
        <v>329.61600043277394</v>
      </c>
      <c r="AS79" s="60" t="s">
        <v>172</v>
      </c>
      <c r="AT79" s="60">
        <v>63.56</v>
      </c>
      <c r="AU79" s="60">
        <v>3.48</v>
      </c>
      <c r="AV79" s="60">
        <f t="shared" si="102"/>
        <v>18.102951816431993</v>
      </c>
      <c r="AW79" s="60">
        <v>50000</v>
      </c>
      <c r="AX79" s="60">
        <v>23</v>
      </c>
      <c r="AY79" s="60" t="s">
        <v>179</v>
      </c>
      <c r="AZ79" s="60">
        <v>7523.73</v>
      </c>
      <c r="BA79" s="80">
        <v>10</v>
      </c>
      <c r="BB79" s="60">
        <f t="shared" si="80"/>
        <v>34.609157999999994</v>
      </c>
      <c r="BC79" s="60">
        <v>37.44</v>
      </c>
      <c r="BD79" s="60">
        <v>34.82</v>
      </c>
      <c r="BE79" s="60">
        <v>0</v>
      </c>
      <c r="BF79" s="60">
        <v>6.5</v>
      </c>
      <c r="BG79" s="60"/>
      <c r="BH79" s="80">
        <f t="shared" si="89"/>
        <v>748.4604882106272</v>
      </c>
      <c r="BI79" s="60">
        <f t="shared" si="87"/>
        <v>40.332965327918778</v>
      </c>
      <c r="BJ79" s="80">
        <f t="shared" si="103"/>
        <v>806.27779400819884</v>
      </c>
      <c r="BK79" s="102">
        <f t="shared" si="77"/>
        <v>723.65571453395717</v>
      </c>
      <c r="BL79" s="43"/>
      <c r="BM79" s="43"/>
      <c r="BN79" s="33"/>
      <c r="BR79" s="127"/>
    </row>
    <row r="80" spans="1:70" ht="78.75" x14ac:dyDescent="0.25">
      <c r="A80" s="37" t="s">
        <v>150</v>
      </c>
      <c r="B80" s="156" t="s">
        <v>262</v>
      </c>
      <c r="C80" s="156" t="s">
        <v>273</v>
      </c>
      <c r="D80" s="156" t="s">
        <v>311</v>
      </c>
      <c r="E80" s="156">
        <v>4</v>
      </c>
      <c r="F80" s="156">
        <v>79.069999999999993</v>
      </c>
      <c r="G80" s="156">
        <v>6</v>
      </c>
      <c r="H80" s="101">
        <f t="shared" si="90"/>
        <v>4.7441999999999993</v>
      </c>
      <c r="I80" s="156"/>
      <c r="J80" s="156">
        <f t="shared" si="91"/>
        <v>0</v>
      </c>
      <c r="K80" s="156">
        <v>40</v>
      </c>
      <c r="L80" s="156">
        <f t="shared" si="92"/>
        <v>31.627999999999997</v>
      </c>
      <c r="M80" s="156">
        <v>3.31</v>
      </c>
      <c r="N80" s="156">
        <v>25</v>
      </c>
      <c r="O80" s="156">
        <f t="shared" si="93"/>
        <v>19.767499999999998</v>
      </c>
      <c r="P80" s="156"/>
      <c r="Q80" s="156"/>
      <c r="R80" s="156">
        <v>40</v>
      </c>
      <c r="S80" s="156">
        <f t="shared" si="94"/>
        <v>55.407880000000006</v>
      </c>
      <c r="T80" s="156">
        <v>30</v>
      </c>
      <c r="U80" s="156">
        <f t="shared" si="95"/>
        <v>58.178274000000002</v>
      </c>
      <c r="V80" s="156">
        <v>30</v>
      </c>
      <c r="W80" s="156">
        <f t="shared" si="96"/>
        <v>58.178274000000002</v>
      </c>
      <c r="X80" s="60">
        <f t="shared" si="97"/>
        <v>310.28412800000001</v>
      </c>
      <c r="Y80" s="60">
        <f t="shared" si="86"/>
        <v>1.5228426395939085</v>
      </c>
      <c r="Z80" s="60">
        <f t="shared" si="88"/>
        <v>18.617047679999999</v>
      </c>
      <c r="AA80" s="60">
        <f t="shared" si="98"/>
        <v>21.719888960000002</v>
      </c>
      <c r="AB80" s="60">
        <f t="shared" si="99"/>
        <v>352.14390727959392</v>
      </c>
      <c r="AC80" s="60">
        <f t="shared" si="104"/>
        <v>106.34745999843736</v>
      </c>
      <c r="AD80" s="60">
        <f t="shared" ref="AD80:AD105" si="105">AB80*0.123</f>
        <v>43.313700595390053</v>
      </c>
      <c r="AE80" s="60">
        <f t="shared" ref="AE80:AE104" si="106">AB80*1.734*0.05</f>
        <v>30.530876761140792</v>
      </c>
      <c r="AF80" s="60" t="s">
        <v>83</v>
      </c>
      <c r="AG80" s="159">
        <v>30.677966000000001</v>
      </c>
      <c r="AH80" s="60">
        <v>25</v>
      </c>
      <c r="AI80" s="60">
        <v>31.75</v>
      </c>
      <c r="AJ80" s="60">
        <v>32.25</v>
      </c>
      <c r="AK80" s="60">
        <v>34.5</v>
      </c>
      <c r="AL80" s="60">
        <f t="shared" si="100"/>
        <v>32.5625</v>
      </c>
      <c r="AM80" s="60">
        <f t="shared" si="78"/>
        <v>229.75879161125005</v>
      </c>
      <c r="AN80" s="60" t="s">
        <v>263</v>
      </c>
      <c r="AO80" s="60">
        <v>6.4</v>
      </c>
      <c r="AP80" s="60">
        <v>0.4</v>
      </c>
      <c r="AQ80" s="60">
        <f t="shared" si="85"/>
        <v>78.535592960000017</v>
      </c>
      <c r="AR80" s="60">
        <f t="shared" si="101"/>
        <v>308.29438457125008</v>
      </c>
      <c r="AS80" s="60" t="s">
        <v>264</v>
      </c>
      <c r="AT80" s="60">
        <v>111.86</v>
      </c>
      <c r="AU80" s="60">
        <v>0.6</v>
      </c>
      <c r="AV80" s="60">
        <f t="shared" si="102"/>
        <v>5.0265689249999994</v>
      </c>
      <c r="AW80" s="60">
        <v>50000</v>
      </c>
      <c r="AX80" s="60">
        <v>23</v>
      </c>
      <c r="AY80" s="60" t="s">
        <v>265</v>
      </c>
      <c r="AZ80" s="60">
        <v>7056.78</v>
      </c>
      <c r="BA80" s="80">
        <v>5</v>
      </c>
      <c r="BB80" s="60">
        <f t="shared" si="80"/>
        <v>16.230594</v>
      </c>
      <c r="BC80" s="60">
        <v>37.44</v>
      </c>
      <c r="BD80" s="60">
        <v>34.82</v>
      </c>
      <c r="BE80" s="60">
        <v>0</v>
      </c>
      <c r="BF80" s="60">
        <v>6.5</v>
      </c>
      <c r="BG80" s="60"/>
      <c r="BH80" s="80">
        <f t="shared" si="89"/>
        <v>910.11661536967142</v>
      </c>
      <c r="BI80" s="60">
        <f t="shared" si="87"/>
        <v>70.428781455918781</v>
      </c>
      <c r="BJ80" s="80">
        <f t="shared" si="103"/>
        <v>1011.076273586731</v>
      </c>
      <c r="BK80" s="102">
        <f t="shared" si="77"/>
        <v>866.80291477428136</v>
      </c>
      <c r="BL80" s="43"/>
      <c r="BM80" s="43"/>
      <c r="BN80" s="33"/>
      <c r="BR80" s="127"/>
    </row>
    <row r="81" spans="1:70" ht="78.75" x14ac:dyDescent="0.25">
      <c r="A81" s="37" t="s">
        <v>151</v>
      </c>
      <c r="B81" s="156" t="s">
        <v>262</v>
      </c>
      <c r="C81" s="156" t="s">
        <v>275</v>
      </c>
      <c r="D81" s="156" t="s">
        <v>311</v>
      </c>
      <c r="E81" s="156">
        <v>4</v>
      </c>
      <c r="F81" s="156">
        <v>79.069999999999993</v>
      </c>
      <c r="G81" s="156">
        <v>6</v>
      </c>
      <c r="H81" s="101">
        <f t="shared" si="90"/>
        <v>4.7441999999999993</v>
      </c>
      <c r="I81" s="156"/>
      <c r="J81" s="156">
        <f t="shared" si="91"/>
        <v>0</v>
      </c>
      <c r="K81" s="156">
        <v>0</v>
      </c>
      <c r="L81" s="156">
        <f t="shared" si="92"/>
        <v>0</v>
      </c>
      <c r="M81" s="156">
        <v>0</v>
      </c>
      <c r="N81" s="156">
        <v>25</v>
      </c>
      <c r="O81" s="156">
        <f t="shared" si="93"/>
        <v>19.767499999999998</v>
      </c>
      <c r="P81" s="156"/>
      <c r="Q81" s="156"/>
      <c r="R81" s="156">
        <v>40</v>
      </c>
      <c r="S81" s="156">
        <f t="shared" si="94"/>
        <v>41.432679999999998</v>
      </c>
      <c r="T81" s="156">
        <v>30</v>
      </c>
      <c r="U81" s="156">
        <f t="shared" si="95"/>
        <v>43.504313999999994</v>
      </c>
      <c r="V81" s="156">
        <v>30</v>
      </c>
      <c r="W81" s="156">
        <f t="shared" si="96"/>
        <v>43.504313999999994</v>
      </c>
      <c r="X81" s="60">
        <f t="shared" si="97"/>
        <v>232.02300799999998</v>
      </c>
      <c r="Y81" s="60">
        <f t="shared" si="86"/>
        <v>1.5228426395939085</v>
      </c>
      <c r="Z81" s="60">
        <f t="shared" si="88"/>
        <v>13.921380479999998</v>
      </c>
      <c r="AA81" s="60">
        <f t="shared" si="98"/>
        <v>16.241610560000002</v>
      </c>
      <c r="AB81" s="60">
        <f t="shared" si="99"/>
        <v>263.70884167959389</v>
      </c>
      <c r="AC81" s="60">
        <f t="shared" si="104"/>
        <v>79.640070187237356</v>
      </c>
      <c r="AD81" s="60">
        <f t="shared" si="105"/>
        <v>32.436187526590047</v>
      </c>
      <c r="AE81" s="60">
        <f t="shared" si="106"/>
        <v>22.863556573620791</v>
      </c>
      <c r="AF81" s="60" t="s">
        <v>83</v>
      </c>
      <c r="AG81" s="159">
        <v>30.677966000000001</v>
      </c>
      <c r="AH81" s="60">
        <v>25</v>
      </c>
      <c r="AI81" s="60">
        <v>31.75</v>
      </c>
      <c r="AJ81" s="60">
        <v>32.25</v>
      </c>
      <c r="AK81" s="60">
        <v>34.5</v>
      </c>
      <c r="AL81" s="60">
        <f t="shared" si="100"/>
        <v>32.5625</v>
      </c>
      <c r="AM81" s="60">
        <f t="shared" si="78"/>
        <v>229.75879161125005</v>
      </c>
      <c r="AN81" s="60" t="s">
        <v>263</v>
      </c>
      <c r="AO81" s="60">
        <v>6.4</v>
      </c>
      <c r="AP81" s="60">
        <v>0.4</v>
      </c>
      <c r="AQ81" s="60">
        <f t="shared" si="85"/>
        <v>78.535592960000017</v>
      </c>
      <c r="AR81" s="60">
        <f t="shared" si="101"/>
        <v>308.29438457125008</v>
      </c>
      <c r="AS81" s="60" t="s">
        <v>264</v>
      </c>
      <c r="AT81" s="60">
        <v>111.86</v>
      </c>
      <c r="AU81" s="60">
        <v>0.6</v>
      </c>
      <c r="AV81" s="60">
        <f t="shared" si="102"/>
        <v>5.0265689249999994</v>
      </c>
      <c r="AW81" s="60">
        <v>50000</v>
      </c>
      <c r="AX81" s="60">
        <v>23</v>
      </c>
      <c r="AY81" s="60" t="s">
        <v>265</v>
      </c>
      <c r="AZ81" s="60">
        <v>7056.78</v>
      </c>
      <c r="BA81" s="80">
        <v>5</v>
      </c>
      <c r="BB81" s="60">
        <f t="shared" si="80"/>
        <v>16.230594</v>
      </c>
      <c r="BC81" s="60">
        <v>37.44</v>
      </c>
      <c r="BD81" s="60">
        <v>34.82</v>
      </c>
      <c r="BE81" s="60">
        <v>0</v>
      </c>
      <c r="BF81" s="60">
        <v>6.5</v>
      </c>
      <c r="BG81" s="60"/>
      <c r="BH81" s="80">
        <f t="shared" si="89"/>
        <v>784.09664688967143</v>
      </c>
      <c r="BI81" s="60">
        <f t="shared" si="87"/>
        <v>52.741768335918778</v>
      </c>
      <c r="BJ81" s="80">
        <f t="shared" si="103"/>
        <v>859.70197179921104</v>
      </c>
      <c r="BK81" s="102">
        <f t="shared" si="77"/>
        <v>751.66045936308137</v>
      </c>
      <c r="BL81" s="43"/>
      <c r="BM81" s="43"/>
      <c r="BN81" s="33"/>
      <c r="BR81" s="127"/>
    </row>
    <row r="82" spans="1:70" ht="78.75" x14ac:dyDescent="0.25">
      <c r="A82" s="37" t="s">
        <v>152</v>
      </c>
      <c r="B82" s="156" t="s">
        <v>262</v>
      </c>
      <c r="C82" s="156" t="s">
        <v>276</v>
      </c>
      <c r="D82" s="156" t="s">
        <v>311</v>
      </c>
      <c r="E82" s="156">
        <v>4</v>
      </c>
      <c r="F82" s="156">
        <v>79.069999999999993</v>
      </c>
      <c r="G82" s="156">
        <v>0</v>
      </c>
      <c r="H82" s="101">
        <f t="shared" si="90"/>
        <v>0</v>
      </c>
      <c r="I82" s="156"/>
      <c r="J82" s="156">
        <f t="shared" si="91"/>
        <v>0</v>
      </c>
      <c r="K82" s="156">
        <v>40</v>
      </c>
      <c r="L82" s="156">
        <f t="shared" si="92"/>
        <v>31.627999999999997</v>
      </c>
      <c r="M82" s="156">
        <v>3.31</v>
      </c>
      <c r="N82" s="156">
        <v>25</v>
      </c>
      <c r="O82" s="156">
        <f t="shared" si="93"/>
        <v>19.767499999999998</v>
      </c>
      <c r="P82" s="156"/>
      <c r="Q82" s="156"/>
      <c r="R82" s="156">
        <v>40</v>
      </c>
      <c r="S82" s="156">
        <f t="shared" si="94"/>
        <v>53.510199999999998</v>
      </c>
      <c r="T82" s="156">
        <v>30</v>
      </c>
      <c r="U82" s="156">
        <f t="shared" si="95"/>
        <v>56.18571</v>
      </c>
      <c r="V82" s="156">
        <v>30</v>
      </c>
      <c r="W82" s="156">
        <f t="shared" si="96"/>
        <v>56.18571</v>
      </c>
      <c r="X82" s="60">
        <f t="shared" si="97"/>
        <v>299.65711999999996</v>
      </c>
      <c r="Y82" s="60">
        <f t="shared" si="86"/>
        <v>1.5228426395939085</v>
      </c>
      <c r="Z82" s="60">
        <f t="shared" si="88"/>
        <v>17.979427199999996</v>
      </c>
      <c r="AA82" s="60">
        <f t="shared" si="98"/>
        <v>20.975998399999998</v>
      </c>
      <c r="AB82" s="60">
        <f t="shared" si="99"/>
        <v>340.13538823959385</v>
      </c>
      <c r="AC82" s="60">
        <f t="shared" si="104"/>
        <v>102.72088724835734</v>
      </c>
      <c r="AD82" s="60">
        <f t="shared" si="105"/>
        <v>41.836652753470041</v>
      </c>
      <c r="AE82" s="60">
        <f t="shared" si="106"/>
        <v>29.489738160372788</v>
      </c>
      <c r="AF82" s="60" t="s">
        <v>83</v>
      </c>
      <c r="AG82" s="159">
        <v>30.677966000000001</v>
      </c>
      <c r="AH82" s="60">
        <v>25</v>
      </c>
      <c r="AI82" s="60">
        <v>31.75</v>
      </c>
      <c r="AJ82" s="60">
        <v>32.25</v>
      </c>
      <c r="AK82" s="60">
        <v>34.5</v>
      </c>
      <c r="AL82" s="60">
        <f t="shared" si="100"/>
        <v>32.5625</v>
      </c>
      <c r="AM82" s="60">
        <f t="shared" si="78"/>
        <v>229.75879161125005</v>
      </c>
      <c r="AN82" s="60" t="s">
        <v>263</v>
      </c>
      <c r="AO82" s="60">
        <v>6.4</v>
      </c>
      <c r="AP82" s="60">
        <v>0.4</v>
      </c>
      <c r="AQ82" s="60">
        <f t="shared" si="85"/>
        <v>78.535592960000017</v>
      </c>
      <c r="AR82" s="60">
        <f t="shared" si="101"/>
        <v>308.29438457125008</v>
      </c>
      <c r="AS82" s="60" t="s">
        <v>264</v>
      </c>
      <c r="AT82" s="60">
        <v>111.86</v>
      </c>
      <c r="AU82" s="60">
        <v>0.6</v>
      </c>
      <c r="AV82" s="60">
        <f t="shared" si="102"/>
        <v>5.0265689249999994</v>
      </c>
      <c r="AW82" s="60">
        <v>50000</v>
      </c>
      <c r="AX82" s="60">
        <v>23</v>
      </c>
      <c r="AY82" s="60" t="s">
        <v>265</v>
      </c>
      <c r="AZ82" s="60">
        <v>7056.78</v>
      </c>
      <c r="BA82" s="80">
        <v>5</v>
      </c>
      <c r="BB82" s="60">
        <f t="shared" si="80"/>
        <v>16.230594</v>
      </c>
      <c r="BC82" s="60">
        <v>37.44</v>
      </c>
      <c r="BD82" s="60">
        <v>34.82</v>
      </c>
      <c r="BE82" s="60">
        <v>0</v>
      </c>
      <c r="BF82" s="60">
        <v>6.5</v>
      </c>
      <c r="BG82" s="60"/>
      <c r="BH82" s="80">
        <f t="shared" si="89"/>
        <v>893.00447573767121</v>
      </c>
      <c r="BI82" s="60">
        <f t="shared" si="87"/>
        <v>68.027077647918773</v>
      </c>
      <c r="BJ82" s="80">
        <f t="shared" si="103"/>
        <v>990.52129154596275</v>
      </c>
      <c r="BK82" s="102">
        <f t="shared" si="77"/>
        <v>851.16782298420117</v>
      </c>
      <c r="BL82" s="43"/>
      <c r="BM82" s="43"/>
      <c r="BN82" s="33"/>
      <c r="BR82" s="127"/>
    </row>
    <row r="83" spans="1:70" ht="77.25" customHeight="1" x14ac:dyDescent="0.25">
      <c r="A83" s="37" t="s">
        <v>153</v>
      </c>
      <c r="B83" s="156" t="s">
        <v>425</v>
      </c>
      <c r="C83" s="156" t="s">
        <v>426</v>
      </c>
      <c r="D83" s="156" t="s">
        <v>311</v>
      </c>
      <c r="E83" s="156">
        <v>4</v>
      </c>
      <c r="F83" s="156">
        <v>79.069999999999993</v>
      </c>
      <c r="G83" s="156">
        <v>4</v>
      </c>
      <c r="H83" s="101">
        <f t="shared" si="90"/>
        <v>3.1627999999999998</v>
      </c>
      <c r="I83" s="156"/>
      <c r="J83" s="156">
        <f t="shared" si="91"/>
        <v>0</v>
      </c>
      <c r="K83" s="156">
        <v>0</v>
      </c>
      <c r="L83" s="156">
        <f t="shared" si="92"/>
        <v>0</v>
      </c>
      <c r="M83" s="156">
        <v>0</v>
      </c>
      <c r="N83" s="156">
        <v>25</v>
      </c>
      <c r="O83" s="156">
        <f t="shared" si="93"/>
        <v>19.767499999999998</v>
      </c>
      <c r="P83" s="156"/>
      <c r="Q83" s="156"/>
      <c r="R83" s="156">
        <v>40</v>
      </c>
      <c r="S83" s="156">
        <f t="shared" si="94"/>
        <v>40.80012</v>
      </c>
      <c r="T83" s="156">
        <v>30</v>
      </c>
      <c r="U83" s="156">
        <f t="shared" si="95"/>
        <v>42.840125999999998</v>
      </c>
      <c r="V83" s="156">
        <v>30</v>
      </c>
      <c r="W83" s="156">
        <f t="shared" si="96"/>
        <v>42.840125999999998</v>
      </c>
      <c r="X83" s="60">
        <f t="shared" si="97"/>
        <v>228.480672</v>
      </c>
      <c r="Y83" s="60">
        <f>3000/1970</f>
        <v>1.5228426395939085</v>
      </c>
      <c r="Z83" s="60">
        <f>X83*0.06</f>
        <v>13.70884032</v>
      </c>
      <c r="AA83" s="60">
        <f t="shared" si="98"/>
        <v>15.993647040000001</v>
      </c>
      <c r="AB83" s="60">
        <f t="shared" si="99"/>
        <v>259.70600199959392</v>
      </c>
      <c r="AC83" s="60">
        <f t="shared" si="104"/>
        <v>78.431212603877356</v>
      </c>
      <c r="AD83" s="60">
        <f t="shared" si="105"/>
        <v>31.943838245950051</v>
      </c>
      <c r="AE83" s="60">
        <f t="shared" si="106"/>
        <v>22.516510373364795</v>
      </c>
      <c r="AF83" s="60" t="s">
        <v>83</v>
      </c>
      <c r="AG83" s="159">
        <v>30.677966000000001</v>
      </c>
      <c r="AH83" s="60">
        <v>25</v>
      </c>
      <c r="AI83" s="60">
        <v>31.75</v>
      </c>
      <c r="AJ83" s="60">
        <v>32.25</v>
      </c>
      <c r="AK83" s="60">
        <v>34.5</v>
      </c>
      <c r="AL83" s="60">
        <f t="shared" si="100"/>
        <v>32.5625</v>
      </c>
      <c r="AM83" s="60">
        <f>AG83*AL83/100*23</f>
        <v>229.75879161125005</v>
      </c>
      <c r="AN83" s="60" t="s">
        <v>263</v>
      </c>
      <c r="AO83" s="60">
        <v>6.4</v>
      </c>
      <c r="AP83" s="60">
        <v>0.4</v>
      </c>
      <c r="AQ83" s="60">
        <f>AG83*AO83*AP83</f>
        <v>78.535592960000017</v>
      </c>
      <c r="AR83" s="60">
        <f t="shared" si="101"/>
        <v>308.29438457125008</v>
      </c>
      <c r="AS83" s="60" t="s">
        <v>264</v>
      </c>
      <c r="AT83" s="60">
        <v>111.86</v>
      </c>
      <c r="AU83" s="60">
        <v>0.6</v>
      </c>
      <c r="AV83" s="60">
        <f t="shared" si="102"/>
        <v>5.0265689249999994</v>
      </c>
      <c r="AW83" s="60">
        <v>50000</v>
      </c>
      <c r="AX83" s="60">
        <v>23</v>
      </c>
      <c r="AY83" s="60" t="s">
        <v>265</v>
      </c>
      <c r="AZ83" s="60">
        <v>7056.78</v>
      </c>
      <c r="BA83" s="80">
        <v>5</v>
      </c>
      <c r="BB83" s="60">
        <f>AZ83*BA83/AW83*AX83</f>
        <v>16.230594</v>
      </c>
      <c r="BC83" s="60">
        <v>37.44</v>
      </c>
      <c r="BD83" s="60">
        <v>34.82</v>
      </c>
      <c r="BE83" s="60">
        <v>491.5</v>
      </c>
      <c r="BF83" s="60">
        <v>6.5</v>
      </c>
      <c r="BG83" s="60"/>
      <c r="BH83" s="80">
        <f>AB83+AC83+AD83+AR83+AV83+BB83+BC83+BD83+BE83+BF83</f>
        <v>1269.8926003456713</v>
      </c>
      <c r="BI83" s="60">
        <f t="shared" si="87"/>
        <v>51.941200399918785</v>
      </c>
      <c r="BJ83" s="80">
        <f t="shared" si="103"/>
        <v>1344.3503111189548</v>
      </c>
      <c r="BK83" s="102">
        <f>BH83-AD83</f>
        <v>1237.9487620997213</v>
      </c>
      <c r="BL83" s="43"/>
      <c r="BM83" s="43"/>
      <c r="BN83" s="33"/>
      <c r="BR83" s="127"/>
    </row>
    <row r="84" spans="1:70" ht="110.25" x14ac:dyDescent="0.25">
      <c r="A84" s="37" t="s">
        <v>154</v>
      </c>
      <c r="B84" s="78" t="s">
        <v>314</v>
      </c>
      <c r="C84" s="156" t="s">
        <v>315</v>
      </c>
      <c r="D84" s="156" t="s">
        <v>311</v>
      </c>
      <c r="E84" s="156">
        <v>4</v>
      </c>
      <c r="F84" s="156">
        <v>63.25</v>
      </c>
      <c r="G84" s="156">
        <v>0</v>
      </c>
      <c r="H84" s="101">
        <f t="shared" ref="H84:H93" si="107">F84*G84/100</f>
        <v>0</v>
      </c>
      <c r="I84" s="156"/>
      <c r="J84" s="156">
        <f t="shared" ref="J84:J93" si="108">F84*I84/100</f>
        <v>0</v>
      </c>
      <c r="K84" s="156"/>
      <c r="L84" s="156">
        <f t="shared" ref="L84:L93" si="109">F84*K84/100</f>
        <v>0</v>
      </c>
      <c r="M84" s="156"/>
      <c r="N84" s="156">
        <v>25</v>
      </c>
      <c r="O84" s="156">
        <f t="shared" ref="O84:O93" si="110">F84*N84/100</f>
        <v>15.8125</v>
      </c>
      <c r="P84" s="156"/>
      <c r="Q84" s="156"/>
      <c r="R84" s="156">
        <v>40</v>
      </c>
      <c r="S84" s="156">
        <f t="shared" ref="S84:S93" si="111">(F84+H84+J84+L84+M84+O84+Q84)*R84/100</f>
        <v>31.625</v>
      </c>
      <c r="T84" s="156">
        <v>30</v>
      </c>
      <c r="U84" s="156">
        <f t="shared" ref="U84:U93" si="112">(F84+H84+J84+L84+M84+O84+Q84+S84)*30/100</f>
        <v>33.206249999999997</v>
      </c>
      <c r="V84" s="156">
        <v>30</v>
      </c>
      <c r="W84" s="156">
        <f t="shared" ref="W84:W93" si="113">U84</f>
        <v>33.206249999999997</v>
      </c>
      <c r="X84" s="60">
        <f t="shared" ref="X84:X93" si="114">F84+H84+J84+L84+M84+O84+Q84+S84+U84+W84</f>
        <v>177.10000000000002</v>
      </c>
      <c r="Y84" s="60">
        <f t="shared" si="86"/>
        <v>1.5228426395939085</v>
      </c>
      <c r="Z84" s="60">
        <f t="shared" ref="Z84:Z93" si="115">X84*0.06</f>
        <v>10.626000000000001</v>
      </c>
      <c r="AA84" s="60">
        <f t="shared" ref="AA84:AA93" si="116">X84*0.07</f>
        <v>12.397000000000002</v>
      </c>
      <c r="AB84" s="60">
        <f t="shared" ref="AB84:AB93" si="117">X84+Y84+Z84+AA84</f>
        <v>201.64584263959392</v>
      </c>
      <c r="AC84" s="60">
        <f t="shared" si="104"/>
        <v>60.897044477157365</v>
      </c>
      <c r="AD84" s="60">
        <f t="shared" si="105"/>
        <v>24.802438644670051</v>
      </c>
      <c r="AE84" s="60">
        <f t="shared" si="106"/>
        <v>17.482694556852792</v>
      </c>
      <c r="AF84" s="60" t="s">
        <v>83</v>
      </c>
      <c r="AG84" s="159">
        <v>30.677966000000001</v>
      </c>
      <c r="AH84" s="121">
        <v>11.4</v>
      </c>
      <c r="AI84" s="60">
        <v>15.618</v>
      </c>
      <c r="AJ84" s="60">
        <v>15.846000000000002</v>
      </c>
      <c r="AK84" s="60">
        <v>16.871999999999996</v>
      </c>
      <c r="AL84" s="60">
        <f t="shared" si="100"/>
        <v>15.9885</v>
      </c>
      <c r="AM84" s="60">
        <f t="shared" si="78"/>
        <v>112.81377165993</v>
      </c>
      <c r="AN84" s="60"/>
      <c r="AO84" s="60"/>
      <c r="AP84" s="60"/>
      <c r="AQ84" s="60">
        <f t="shared" ref="AQ84:AQ93" si="118">AG84*AO84*AP84</f>
        <v>0</v>
      </c>
      <c r="AR84" s="60">
        <f t="shared" ref="AR84:AR93" si="119">AM84+AQ84</f>
        <v>112.81377165993</v>
      </c>
      <c r="AS84" s="60" t="s">
        <v>320</v>
      </c>
      <c r="AT84" s="60">
        <v>201.7</v>
      </c>
      <c r="AU84" s="60">
        <v>0.6</v>
      </c>
      <c r="AV84" s="60">
        <f t="shared" ref="AV84:AV93" si="120">AL84/100*23*AU84/100*AT84</f>
        <v>4.4503350209999999</v>
      </c>
      <c r="AW84" s="60">
        <v>50000</v>
      </c>
      <c r="AX84" s="60">
        <v>23</v>
      </c>
      <c r="AY84" s="60" t="s">
        <v>321</v>
      </c>
      <c r="AZ84" s="60" t="s">
        <v>322</v>
      </c>
      <c r="BA84" s="60" t="s">
        <v>323</v>
      </c>
      <c r="BB84" s="60">
        <f t="shared" ref="BB84:BB93" si="121">AX84/AW84*(3995*2+3060*4)</f>
        <v>9.3057999999999996</v>
      </c>
      <c r="BC84" s="60">
        <v>37.44</v>
      </c>
      <c r="BD84" s="60">
        <v>34.82</v>
      </c>
      <c r="BE84" s="60">
        <v>4.6100000000000003</v>
      </c>
      <c r="BF84" s="60">
        <v>6.5</v>
      </c>
      <c r="BG84" s="128"/>
      <c r="BH84" s="80">
        <f t="shared" ref="BH84:BH90" si="122">AB84+AC84+AD84+AR84+AV84+BB84+BC84+BD84+BE84+BF84+BG84</f>
        <v>497.28523244235134</v>
      </c>
      <c r="BI84" s="60">
        <f t="shared" si="87"/>
        <v>40.329168527918789</v>
      </c>
      <c r="BJ84" s="80">
        <f t="shared" ref="BJ84:BJ93" si="123">BH84+AE84+BI84</f>
        <v>555.09709552712297</v>
      </c>
      <c r="BK84" s="102">
        <f t="shared" ref="BK84:BK93" si="124">BH84-AD84</f>
        <v>472.48279379768127</v>
      </c>
      <c r="BL84" s="43"/>
      <c r="BM84" s="43"/>
      <c r="BN84" s="33"/>
      <c r="BR84" s="127"/>
    </row>
    <row r="85" spans="1:70" ht="110.25" x14ac:dyDescent="0.25">
      <c r="A85" s="37" t="s">
        <v>155</v>
      </c>
      <c r="B85" s="78" t="s">
        <v>314</v>
      </c>
      <c r="C85" s="156" t="s">
        <v>316</v>
      </c>
      <c r="D85" s="156" t="s">
        <v>311</v>
      </c>
      <c r="E85" s="156">
        <v>4</v>
      </c>
      <c r="F85" s="156">
        <v>63.25</v>
      </c>
      <c r="G85" s="156">
        <v>0</v>
      </c>
      <c r="H85" s="101">
        <f t="shared" si="107"/>
        <v>0</v>
      </c>
      <c r="I85" s="156"/>
      <c r="J85" s="156">
        <f t="shared" si="108"/>
        <v>0</v>
      </c>
      <c r="K85" s="156"/>
      <c r="L85" s="156">
        <f t="shared" si="109"/>
        <v>0</v>
      </c>
      <c r="M85" s="156"/>
      <c r="N85" s="156">
        <v>25</v>
      </c>
      <c r="O85" s="156">
        <f t="shared" si="110"/>
        <v>15.8125</v>
      </c>
      <c r="P85" s="156"/>
      <c r="Q85" s="156"/>
      <c r="R85" s="156">
        <v>40</v>
      </c>
      <c r="S85" s="156">
        <f t="shared" si="111"/>
        <v>31.625</v>
      </c>
      <c r="T85" s="156">
        <v>30</v>
      </c>
      <c r="U85" s="156">
        <f t="shared" si="112"/>
        <v>33.206249999999997</v>
      </c>
      <c r="V85" s="156">
        <v>30</v>
      </c>
      <c r="W85" s="156">
        <f t="shared" si="113"/>
        <v>33.206249999999997</v>
      </c>
      <c r="X85" s="60">
        <f t="shared" si="114"/>
        <v>177.10000000000002</v>
      </c>
      <c r="Y85" s="60">
        <f t="shared" si="86"/>
        <v>1.5228426395939085</v>
      </c>
      <c r="Z85" s="60">
        <f t="shared" si="115"/>
        <v>10.626000000000001</v>
      </c>
      <c r="AA85" s="60">
        <f t="shared" si="116"/>
        <v>12.397000000000002</v>
      </c>
      <c r="AB85" s="60">
        <f t="shared" si="117"/>
        <v>201.64584263959392</v>
      </c>
      <c r="AC85" s="60">
        <f t="shared" si="104"/>
        <v>60.897044477157365</v>
      </c>
      <c r="AD85" s="60">
        <f t="shared" si="105"/>
        <v>24.802438644670051</v>
      </c>
      <c r="AE85" s="60">
        <f t="shared" si="106"/>
        <v>17.482694556852792</v>
      </c>
      <c r="AF85" s="60" t="s">
        <v>83</v>
      </c>
      <c r="AG85" s="159">
        <v>30.677966000000001</v>
      </c>
      <c r="AH85" s="121">
        <v>11.4</v>
      </c>
      <c r="AI85" s="60">
        <v>15.618</v>
      </c>
      <c r="AJ85" s="60">
        <v>15.846000000000002</v>
      </c>
      <c r="AK85" s="60">
        <v>16.871999999999996</v>
      </c>
      <c r="AL85" s="60">
        <f t="shared" si="100"/>
        <v>15.9885</v>
      </c>
      <c r="AM85" s="60">
        <f t="shared" si="78"/>
        <v>112.81377165993</v>
      </c>
      <c r="AN85" s="60"/>
      <c r="AO85" s="60"/>
      <c r="AP85" s="60"/>
      <c r="AQ85" s="60">
        <f t="shared" si="118"/>
        <v>0</v>
      </c>
      <c r="AR85" s="60">
        <f t="shared" si="119"/>
        <v>112.81377165993</v>
      </c>
      <c r="AS85" s="60" t="s">
        <v>320</v>
      </c>
      <c r="AT85" s="60">
        <v>201.7</v>
      </c>
      <c r="AU85" s="60">
        <v>0.6</v>
      </c>
      <c r="AV85" s="60">
        <f t="shared" si="120"/>
        <v>4.4503350209999999</v>
      </c>
      <c r="AW85" s="60">
        <v>50000</v>
      </c>
      <c r="AX85" s="60">
        <v>23</v>
      </c>
      <c r="AY85" s="60" t="s">
        <v>321</v>
      </c>
      <c r="AZ85" s="60" t="s">
        <v>322</v>
      </c>
      <c r="BA85" s="60" t="s">
        <v>323</v>
      </c>
      <c r="BB85" s="60">
        <f t="shared" si="121"/>
        <v>9.3057999999999996</v>
      </c>
      <c r="BC85" s="60">
        <v>37.44</v>
      </c>
      <c r="BD85" s="60">
        <v>34.82</v>
      </c>
      <c r="BE85" s="60">
        <v>4.6100000000000003</v>
      </c>
      <c r="BF85" s="60">
        <v>6.5</v>
      </c>
      <c r="BG85" s="128"/>
      <c r="BH85" s="80">
        <f t="shared" si="122"/>
        <v>497.28523244235134</v>
      </c>
      <c r="BI85" s="60">
        <f t="shared" si="87"/>
        <v>40.329168527918789</v>
      </c>
      <c r="BJ85" s="80">
        <f t="shared" si="123"/>
        <v>555.09709552712297</v>
      </c>
      <c r="BK85" s="102">
        <f t="shared" si="124"/>
        <v>472.48279379768127</v>
      </c>
      <c r="BL85" s="43"/>
      <c r="BM85" s="43"/>
      <c r="BN85" s="33"/>
      <c r="BR85" s="127"/>
    </row>
    <row r="86" spans="1:70" ht="110.25" x14ac:dyDescent="0.25">
      <c r="A86" s="37" t="s">
        <v>156</v>
      </c>
      <c r="B86" s="78" t="s">
        <v>314</v>
      </c>
      <c r="C86" s="156" t="s">
        <v>317</v>
      </c>
      <c r="D86" s="156" t="s">
        <v>311</v>
      </c>
      <c r="E86" s="156">
        <v>4</v>
      </c>
      <c r="F86" s="156">
        <v>63.25</v>
      </c>
      <c r="G86" s="156">
        <v>0</v>
      </c>
      <c r="H86" s="101">
        <f t="shared" si="107"/>
        <v>0</v>
      </c>
      <c r="I86" s="156"/>
      <c r="J86" s="156">
        <f t="shared" si="108"/>
        <v>0</v>
      </c>
      <c r="K86" s="156"/>
      <c r="L86" s="156">
        <f t="shared" si="109"/>
        <v>0</v>
      </c>
      <c r="M86" s="156"/>
      <c r="N86" s="156">
        <v>25</v>
      </c>
      <c r="O86" s="156">
        <f t="shared" si="110"/>
        <v>15.8125</v>
      </c>
      <c r="P86" s="156"/>
      <c r="Q86" s="156"/>
      <c r="R86" s="156">
        <v>40</v>
      </c>
      <c r="S86" s="156">
        <f t="shared" si="111"/>
        <v>31.625</v>
      </c>
      <c r="T86" s="156">
        <v>30</v>
      </c>
      <c r="U86" s="156">
        <f t="shared" si="112"/>
        <v>33.206249999999997</v>
      </c>
      <c r="V86" s="156">
        <v>30</v>
      </c>
      <c r="W86" s="156">
        <f t="shared" si="113"/>
        <v>33.206249999999997</v>
      </c>
      <c r="X86" s="60">
        <f t="shared" si="114"/>
        <v>177.10000000000002</v>
      </c>
      <c r="Y86" s="60">
        <f t="shared" si="86"/>
        <v>1.5228426395939085</v>
      </c>
      <c r="Z86" s="60">
        <f t="shared" si="115"/>
        <v>10.626000000000001</v>
      </c>
      <c r="AA86" s="60">
        <f t="shared" si="116"/>
        <v>12.397000000000002</v>
      </c>
      <c r="AB86" s="60">
        <f t="shared" si="117"/>
        <v>201.64584263959392</v>
      </c>
      <c r="AC86" s="60">
        <f t="shared" si="104"/>
        <v>60.897044477157365</v>
      </c>
      <c r="AD86" s="60">
        <f t="shared" si="105"/>
        <v>24.802438644670051</v>
      </c>
      <c r="AE86" s="60">
        <f t="shared" si="106"/>
        <v>17.482694556852792</v>
      </c>
      <c r="AF86" s="60" t="s">
        <v>83</v>
      </c>
      <c r="AG86" s="159">
        <v>30.677966000000001</v>
      </c>
      <c r="AH86" s="121">
        <v>11.4</v>
      </c>
      <c r="AI86" s="60">
        <v>15.618</v>
      </c>
      <c r="AJ86" s="60">
        <v>15.846000000000002</v>
      </c>
      <c r="AK86" s="60">
        <v>16.871999999999996</v>
      </c>
      <c r="AL86" s="60">
        <f t="shared" si="100"/>
        <v>15.9885</v>
      </c>
      <c r="AM86" s="60">
        <f t="shared" si="78"/>
        <v>112.81377165993</v>
      </c>
      <c r="AN86" s="60"/>
      <c r="AO86" s="60"/>
      <c r="AP86" s="60"/>
      <c r="AQ86" s="60">
        <f t="shared" si="118"/>
        <v>0</v>
      </c>
      <c r="AR86" s="60">
        <f t="shared" si="119"/>
        <v>112.81377165993</v>
      </c>
      <c r="AS86" s="60" t="s">
        <v>320</v>
      </c>
      <c r="AT86" s="60">
        <v>201.7</v>
      </c>
      <c r="AU86" s="60">
        <v>0.6</v>
      </c>
      <c r="AV86" s="60">
        <f t="shared" si="120"/>
        <v>4.4503350209999999</v>
      </c>
      <c r="AW86" s="60">
        <v>50000</v>
      </c>
      <c r="AX86" s="60">
        <v>23</v>
      </c>
      <c r="AY86" s="60" t="s">
        <v>321</v>
      </c>
      <c r="AZ86" s="60" t="s">
        <v>322</v>
      </c>
      <c r="BA86" s="60" t="s">
        <v>323</v>
      </c>
      <c r="BB86" s="60">
        <f t="shared" si="121"/>
        <v>9.3057999999999996</v>
      </c>
      <c r="BC86" s="60">
        <v>37.44</v>
      </c>
      <c r="BD86" s="60">
        <v>34.82</v>
      </c>
      <c r="BE86" s="60">
        <v>4.6100000000000003</v>
      </c>
      <c r="BF86" s="60">
        <v>6.5</v>
      </c>
      <c r="BG86" s="128"/>
      <c r="BH86" s="80">
        <f t="shared" si="122"/>
        <v>497.28523244235134</v>
      </c>
      <c r="BI86" s="60">
        <f t="shared" si="87"/>
        <v>40.329168527918789</v>
      </c>
      <c r="BJ86" s="80">
        <f t="shared" si="123"/>
        <v>555.09709552712297</v>
      </c>
      <c r="BK86" s="102">
        <f t="shared" si="124"/>
        <v>472.48279379768127</v>
      </c>
      <c r="BL86" s="43"/>
      <c r="BM86" s="43"/>
      <c r="BN86" s="33"/>
      <c r="BR86" s="127"/>
    </row>
    <row r="87" spans="1:70" ht="110.25" x14ac:dyDescent="0.25">
      <c r="A87" s="37" t="s">
        <v>157</v>
      </c>
      <c r="B87" s="78" t="s">
        <v>314</v>
      </c>
      <c r="C87" s="156" t="s">
        <v>318</v>
      </c>
      <c r="D87" s="156" t="s">
        <v>311</v>
      </c>
      <c r="E87" s="156">
        <v>4</v>
      </c>
      <c r="F87" s="156">
        <v>63.25</v>
      </c>
      <c r="G87" s="156">
        <v>0</v>
      </c>
      <c r="H87" s="101">
        <f t="shared" si="107"/>
        <v>0</v>
      </c>
      <c r="I87" s="156"/>
      <c r="J87" s="156">
        <f t="shared" si="108"/>
        <v>0</v>
      </c>
      <c r="K87" s="156"/>
      <c r="L87" s="156">
        <f t="shared" si="109"/>
        <v>0</v>
      </c>
      <c r="M87" s="156"/>
      <c r="N87" s="156">
        <v>25</v>
      </c>
      <c r="O87" s="156">
        <f t="shared" si="110"/>
        <v>15.8125</v>
      </c>
      <c r="P87" s="156"/>
      <c r="Q87" s="156"/>
      <c r="R87" s="156">
        <v>40</v>
      </c>
      <c r="S87" s="156">
        <f t="shared" si="111"/>
        <v>31.625</v>
      </c>
      <c r="T87" s="156">
        <v>30</v>
      </c>
      <c r="U87" s="156">
        <f t="shared" si="112"/>
        <v>33.206249999999997</v>
      </c>
      <c r="V87" s="156">
        <v>30</v>
      </c>
      <c r="W87" s="156">
        <f t="shared" si="113"/>
        <v>33.206249999999997</v>
      </c>
      <c r="X87" s="60">
        <f t="shared" si="114"/>
        <v>177.10000000000002</v>
      </c>
      <c r="Y87" s="60">
        <f t="shared" si="86"/>
        <v>1.5228426395939085</v>
      </c>
      <c r="Z87" s="60">
        <f t="shared" si="115"/>
        <v>10.626000000000001</v>
      </c>
      <c r="AA87" s="60">
        <f t="shared" si="116"/>
        <v>12.397000000000002</v>
      </c>
      <c r="AB87" s="60">
        <f t="shared" si="117"/>
        <v>201.64584263959392</v>
      </c>
      <c r="AC87" s="60">
        <f t="shared" si="104"/>
        <v>60.897044477157365</v>
      </c>
      <c r="AD87" s="60">
        <f t="shared" si="105"/>
        <v>24.802438644670051</v>
      </c>
      <c r="AE87" s="60">
        <f t="shared" si="106"/>
        <v>17.482694556852792</v>
      </c>
      <c r="AF87" s="60" t="s">
        <v>83</v>
      </c>
      <c r="AG87" s="159">
        <v>30.677966000000001</v>
      </c>
      <c r="AH87" s="121">
        <v>11.4</v>
      </c>
      <c r="AI87" s="60">
        <v>15.618</v>
      </c>
      <c r="AJ87" s="60">
        <v>15.846000000000002</v>
      </c>
      <c r="AK87" s="60">
        <v>16.871999999999996</v>
      </c>
      <c r="AL87" s="60">
        <f t="shared" si="100"/>
        <v>15.9885</v>
      </c>
      <c r="AM87" s="60">
        <f t="shared" si="78"/>
        <v>112.81377165993</v>
      </c>
      <c r="AN87" s="60"/>
      <c r="AO87" s="60"/>
      <c r="AP87" s="60"/>
      <c r="AQ87" s="60">
        <f t="shared" si="118"/>
        <v>0</v>
      </c>
      <c r="AR87" s="60">
        <f t="shared" si="119"/>
        <v>112.81377165993</v>
      </c>
      <c r="AS87" s="60" t="s">
        <v>320</v>
      </c>
      <c r="AT87" s="60">
        <v>201.7</v>
      </c>
      <c r="AU87" s="60">
        <v>0.6</v>
      </c>
      <c r="AV87" s="60">
        <f t="shared" si="120"/>
        <v>4.4503350209999999</v>
      </c>
      <c r="AW87" s="60">
        <v>50000</v>
      </c>
      <c r="AX87" s="60">
        <v>23</v>
      </c>
      <c r="AY87" s="60" t="s">
        <v>321</v>
      </c>
      <c r="AZ87" s="60" t="s">
        <v>322</v>
      </c>
      <c r="BA87" s="60" t="s">
        <v>323</v>
      </c>
      <c r="BB87" s="60">
        <f t="shared" si="121"/>
        <v>9.3057999999999996</v>
      </c>
      <c r="BC87" s="60">
        <v>37.44</v>
      </c>
      <c r="BD87" s="60">
        <v>34.82</v>
      </c>
      <c r="BE87" s="60">
        <v>4.6100000000000003</v>
      </c>
      <c r="BF87" s="60">
        <v>6.5</v>
      </c>
      <c r="BG87" s="128"/>
      <c r="BH87" s="80">
        <f t="shared" si="122"/>
        <v>497.28523244235134</v>
      </c>
      <c r="BI87" s="60">
        <f t="shared" si="87"/>
        <v>40.329168527918789</v>
      </c>
      <c r="BJ87" s="80">
        <f t="shared" si="123"/>
        <v>555.09709552712297</v>
      </c>
      <c r="BK87" s="102">
        <f t="shared" si="124"/>
        <v>472.48279379768127</v>
      </c>
      <c r="BL87" s="43"/>
      <c r="BM87" s="43"/>
      <c r="BN87" s="33"/>
      <c r="BR87" s="127"/>
    </row>
    <row r="88" spans="1:70" ht="110.25" x14ac:dyDescent="0.25">
      <c r="A88" s="37" t="s">
        <v>158</v>
      </c>
      <c r="B88" s="78" t="s">
        <v>314</v>
      </c>
      <c r="C88" s="156" t="s">
        <v>319</v>
      </c>
      <c r="D88" s="156" t="s">
        <v>311</v>
      </c>
      <c r="E88" s="156">
        <v>4</v>
      </c>
      <c r="F88" s="156">
        <v>63.25</v>
      </c>
      <c r="G88" s="156">
        <v>0</v>
      </c>
      <c r="H88" s="101">
        <f t="shared" si="107"/>
        <v>0</v>
      </c>
      <c r="I88" s="156"/>
      <c r="J88" s="156">
        <f t="shared" si="108"/>
        <v>0</v>
      </c>
      <c r="K88" s="156"/>
      <c r="L88" s="156">
        <f t="shared" si="109"/>
        <v>0</v>
      </c>
      <c r="M88" s="156"/>
      <c r="N88" s="156">
        <v>25</v>
      </c>
      <c r="O88" s="156">
        <f t="shared" si="110"/>
        <v>15.8125</v>
      </c>
      <c r="P88" s="156"/>
      <c r="Q88" s="156"/>
      <c r="R88" s="156">
        <v>40</v>
      </c>
      <c r="S88" s="156">
        <f t="shared" si="111"/>
        <v>31.625</v>
      </c>
      <c r="T88" s="156">
        <v>30</v>
      </c>
      <c r="U88" s="156">
        <f t="shared" si="112"/>
        <v>33.206249999999997</v>
      </c>
      <c r="V88" s="156">
        <v>30</v>
      </c>
      <c r="W88" s="156">
        <f t="shared" si="113"/>
        <v>33.206249999999997</v>
      </c>
      <c r="X88" s="60">
        <f t="shared" si="114"/>
        <v>177.10000000000002</v>
      </c>
      <c r="Y88" s="60">
        <f t="shared" si="86"/>
        <v>1.5228426395939085</v>
      </c>
      <c r="Z88" s="60">
        <f t="shared" si="115"/>
        <v>10.626000000000001</v>
      </c>
      <c r="AA88" s="60">
        <f t="shared" si="116"/>
        <v>12.397000000000002</v>
      </c>
      <c r="AB88" s="60">
        <f t="shared" si="117"/>
        <v>201.64584263959392</v>
      </c>
      <c r="AC88" s="60">
        <f t="shared" si="104"/>
        <v>60.897044477157365</v>
      </c>
      <c r="AD88" s="60">
        <f t="shared" si="105"/>
        <v>24.802438644670051</v>
      </c>
      <c r="AE88" s="60">
        <f t="shared" si="106"/>
        <v>17.482694556852792</v>
      </c>
      <c r="AF88" s="60" t="s">
        <v>83</v>
      </c>
      <c r="AG88" s="159">
        <v>30.677966000000001</v>
      </c>
      <c r="AH88" s="121">
        <v>11.4</v>
      </c>
      <c r="AI88" s="60">
        <v>15.618</v>
      </c>
      <c r="AJ88" s="60">
        <v>15.846000000000002</v>
      </c>
      <c r="AK88" s="60">
        <v>16.871999999999996</v>
      </c>
      <c r="AL88" s="60">
        <f t="shared" si="100"/>
        <v>15.9885</v>
      </c>
      <c r="AM88" s="60">
        <f t="shared" si="78"/>
        <v>112.81377165993</v>
      </c>
      <c r="AN88" s="60"/>
      <c r="AO88" s="60"/>
      <c r="AP88" s="60"/>
      <c r="AQ88" s="60">
        <f t="shared" si="118"/>
        <v>0</v>
      </c>
      <c r="AR88" s="60">
        <f t="shared" si="119"/>
        <v>112.81377165993</v>
      </c>
      <c r="AS88" s="60" t="s">
        <v>320</v>
      </c>
      <c r="AT88" s="60">
        <v>201.7</v>
      </c>
      <c r="AU88" s="60">
        <v>0.6</v>
      </c>
      <c r="AV88" s="60">
        <f t="shared" si="120"/>
        <v>4.4503350209999999</v>
      </c>
      <c r="AW88" s="60">
        <v>50000</v>
      </c>
      <c r="AX88" s="60">
        <v>23</v>
      </c>
      <c r="AY88" s="60" t="s">
        <v>321</v>
      </c>
      <c r="AZ88" s="60" t="s">
        <v>322</v>
      </c>
      <c r="BA88" s="60" t="s">
        <v>323</v>
      </c>
      <c r="BB88" s="60">
        <f t="shared" si="121"/>
        <v>9.3057999999999996</v>
      </c>
      <c r="BC88" s="60">
        <v>37.44</v>
      </c>
      <c r="BD88" s="60">
        <v>34.82</v>
      </c>
      <c r="BE88" s="60">
        <v>4.6100000000000003</v>
      </c>
      <c r="BF88" s="60">
        <v>6.5</v>
      </c>
      <c r="BG88" s="60"/>
      <c r="BH88" s="80">
        <f t="shared" si="122"/>
        <v>497.28523244235134</v>
      </c>
      <c r="BI88" s="60">
        <f t="shared" si="87"/>
        <v>40.329168527918789</v>
      </c>
      <c r="BJ88" s="80">
        <f t="shared" si="123"/>
        <v>555.09709552712297</v>
      </c>
      <c r="BK88" s="102">
        <f t="shared" si="124"/>
        <v>472.48279379768127</v>
      </c>
      <c r="BL88" s="43"/>
      <c r="BM88" s="43"/>
      <c r="BN88" s="33"/>
      <c r="BR88" s="127"/>
    </row>
    <row r="89" spans="1:70" ht="110.25" x14ac:dyDescent="0.25">
      <c r="A89" s="37" t="s">
        <v>159</v>
      </c>
      <c r="B89" s="78" t="s">
        <v>314</v>
      </c>
      <c r="C89" s="156" t="s">
        <v>360</v>
      </c>
      <c r="D89" s="156" t="s">
        <v>311</v>
      </c>
      <c r="E89" s="156">
        <v>4</v>
      </c>
      <c r="F89" s="156">
        <v>63.25</v>
      </c>
      <c r="G89" s="156">
        <v>0</v>
      </c>
      <c r="H89" s="101">
        <f t="shared" si="107"/>
        <v>0</v>
      </c>
      <c r="I89" s="156"/>
      <c r="J89" s="156">
        <f t="shared" si="108"/>
        <v>0</v>
      </c>
      <c r="K89" s="156"/>
      <c r="L89" s="156">
        <f t="shared" si="109"/>
        <v>0</v>
      </c>
      <c r="M89" s="156"/>
      <c r="N89" s="156">
        <v>25</v>
      </c>
      <c r="O89" s="156">
        <f t="shared" si="110"/>
        <v>15.8125</v>
      </c>
      <c r="P89" s="156"/>
      <c r="Q89" s="156"/>
      <c r="R89" s="156">
        <v>40</v>
      </c>
      <c r="S89" s="156">
        <f t="shared" si="111"/>
        <v>31.625</v>
      </c>
      <c r="T89" s="156">
        <v>30</v>
      </c>
      <c r="U89" s="156">
        <f t="shared" si="112"/>
        <v>33.206249999999997</v>
      </c>
      <c r="V89" s="156">
        <v>30</v>
      </c>
      <c r="W89" s="156">
        <f t="shared" si="113"/>
        <v>33.206249999999997</v>
      </c>
      <c r="X89" s="60">
        <f t="shared" si="114"/>
        <v>177.10000000000002</v>
      </c>
      <c r="Y89" s="60">
        <f t="shared" si="86"/>
        <v>1.5228426395939085</v>
      </c>
      <c r="Z89" s="60">
        <f t="shared" si="115"/>
        <v>10.626000000000001</v>
      </c>
      <c r="AA89" s="60">
        <f t="shared" si="116"/>
        <v>12.397000000000002</v>
      </c>
      <c r="AB89" s="60">
        <f t="shared" si="117"/>
        <v>201.64584263959392</v>
      </c>
      <c r="AC89" s="60">
        <f t="shared" si="104"/>
        <v>60.897044477157365</v>
      </c>
      <c r="AD89" s="60">
        <f t="shared" si="105"/>
        <v>24.802438644670051</v>
      </c>
      <c r="AE89" s="60">
        <f t="shared" si="106"/>
        <v>17.482694556852792</v>
      </c>
      <c r="AF89" s="60" t="s">
        <v>83</v>
      </c>
      <c r="AG89" s="159">
        <v>30.677966000000001</v>
      </c>
      <c r="AH89" s="121">
        <v>11.4</v>
      </c>
      <c r="AI89" s="60">
        <v>15.618</v>
      </c>
      <c r="AJ89" s="60">
        <v>15.846000000000002</v>
      </c>
      <c r="AK89" s="60">
        <v>16.871999999999996</v>
      </c>
      <c r="AL89" s="60">
        <f t="shared" si="100"/>
        <v>15.9885</v>
      </c>
      <c r="AM89" s="60">
        <f t="shared" si="78"/>
        <v>112.81377165993</v>
      </c>
      <c r="AN89" s="60"/>
      <c r="AO89" s="60"/>
      <c r="AP89" s="60"/>
      <c r="AQ89" s="60">
        <f t="shared" si="118"/>
        <v>0</v>
      </c>
      <c r="AR89" s="60">
        <f t="shared" si="119"/>
        <v>112.81377165993</v>
      </c>
      <c r="AS89" s="60" t="s">
        <v>320</v>
      </c>
      <c r="AT89" s="60">
        <v>201.7</v>
      </c>
      <c r="AU89" s="60">
        <v>0.6</v>
      </c>
      <c r="AV89" s="60">
        <f t="shared" si="120"/>
        <v>4.4503350209999999</v>
      </c>
      <c r="AW89" s="60">
        <v>50000</v>
      </c>
      <c r="AX89" s="60">
        <v>23</v>
      </c>
      <c r="AY89" s="60" t="s">
        <v>321</v>
      </c>
      <c r="AZ89" s="60" t="s">
        <v>322</v>
      </c>
      <c r="BA89" s="60" t="s">
        <v>323</v>
      </c>
      <c r="BB89" s="60">
        <f t="shared" si="121"/>
        <v>9.3057999999999996</v>
      </c>
      <c r="BC89" s="60">
        <v>37.44</v>
      </c>
      <c r="BD89" s="60">
        <v>34.82</v>
      </c>
      <c r="BE89" s="60">
        <v>4.6100000000000003</v>
      </c>
      <c r="BF89" s="60">
        <v>6.5</v>
      </c>
      <c r="BG89" s="60"/>
      <c r="BH89" s="80">
        <f t="shared" si="122"/>
        <v>497.28523244235134</v>
      </c>
      <c r="BI89" s="60">
        <f t="shared" si="87"/>
        <v>40.329168527918789</v>
      </c>
      <c r="BJ89" s="80">
        <f t="shared" si="123"/>
        <v>555.09709552712297</v>
      </c>
      <c r="BK89" s="102">
        <f t="shared" si="124"/>
        <v>472.48279379768127</v>
      </c>
      <c r="BL89" s="43"/>
      <c r="BM89" s="43"/>
      <c r="BN89" s="33"/>
      <c r="BR89" s="127"/>
    </row>
    <row r="90" spans="1:70" ht="110.25" x14ac:dyDescent="0.25">
      <c r="A90" s="37" t="s">
        <v>160</v>
      </c>
      <c r="B90" s="78" t="s">
        <v>314</v>
      </c>
      <c r="C90" s="156" t="s">
        <v>361</v>
      </c>
      <c r="D90" s="156" t="s">
        <v>311</v>
      </c>
      <c r="E90" s="156">
        <v>4</v>
      </c>
      <c r="F90" s="156">
        <v>63.25</v>
      </c>
      <c r="G90" s="156">
        <v>0</v>
      </c>
      <c r="H90" s="101">
        <f t="shared" si="107"/>
        <v>0</v>
      </c>
      <c r="I90" s="156"/>
      <c r="J90" s="156">
        <f t="shared" si="108"/>
        <v>0</v>
      </c>
      <c r="K90" s="156"/>
      <c r="L90" s="156">
        <f t="shared" si="109"/>
        <v>0</v>
      </c>
      <c r="M90" s="156"/>
      <c r="N90" s="156">
        <v>25</v>
      </c>
      <c r="O90" s="156">
        <f t="shared" si="110"/>
        <v>15.8125</v>
      </c>
      <c r="P90" s="156"/>
      <c r="Q90" s="156"/>
      <c r="R90" s="156">
        <v>40</v>
      </c>
      <c r="S90" s="156">
        <f t="shared" si="111"/>
        <v>31.625</v>
      </c>
      <c r="T90" s="156">
        <v>30</v>
      </c>
      <c r="U90" s="156">
        <f t="shared" si="112"/>
        <v>33.206249999999997</v>
      </c>
      <c r="V90" s="156">
        <v>30</v>
      </c>
      <c r="W90" s="156">
        <f t="shared" si="113"/>
        <v>33.206249999999997</v>
      </c>
      <c r="X90" s="60">
        <f t="shared" si="114"/>
        <v>177.10000000000002</v>
      </c>
      <c r="Y90" s="60">
        <f t="shared" si="86"/>
        <v>1.5228426395939085</v>
      </c>
      <c r="Z90" s="60">
        <f t="shared" si="115"/>
        <v>10.626000000000001</v>
      </c>
      <c r="AA90" s="60">
        <f t="shared" si="116"/>
        <v>12.397000000000002</v>
      </c>
      <c r="AB90" s="60">
        <f t="shared" si="117"/>
        <v>201.64584263959392</v>
      </c>
      <c r="AC90" s="60">
        <f t="shared" si="104"/>
        <v>60.897044477157365</v>
      </c>
      <c r="AD90" s="60">
        <f t="shared" si="105"/>
        <v>24.802438644670051</v>
      </c>
      <c r="AE90" s="60">
        <f t="shared" si="106"/>
        <v>17.482694556852792</v>
      </c>
      <c r="AF90" s="60" t="s">
        <v>83</v>
      </c>
      <c r="AG90" s="159">
        <v>30.677966000000001</v>
      </c>
      <c r="AH90" s="121">
        <v>11.4</v>
      </c>
      <c r="AI90" s="60">
        <v>15.618</v>
      </c>
      <c r="AJ90" s="60">
        <v>15.846000000000002</v>
      </c>
      <c r="AK90" s="60">
        <v>16.871999999999996</v>
      </c>
      <c r="AL90" s="60">
        <f t="shared" si="100"/>
        <v>15.9885</v>
      </c>
      <c r="AM90" s="60">
        <f t="shared" si="78"/>
        <v>112.81377165993</v>
      </c>
      <c r="AN90" s="60"/>
      <c r="AO90" s="60"/>
      <c r="AP90" s="60"/>
      <c r="AQ90" s="60">
        <f t="shared" si="118"/>
        <v>0</v>
      </c>
      <c r="AR90" s="60">
        <f t="shared" si="119"/>
        <v>112.81377165993</v>
      </c>
      <c r="AS90" s="60" t="s">
        <v>320</v>
      </c>
      <c r="AT90" s="60">
        <v>201.7</v>
      </c>
      <c r="AU90" s="60">
        <v>0.6</v>
      </c>
      <c r="AV90" s="60">
        <f t="shared" si="120"/>
        <v>4.4503350209999999</v>
      </c>
      <c r="AW90" s="60">
        <v>50000</v>
      </c>
      <c r="AX90" s="60">
        <v>23</v>
      </c>
      <c r="AY90" s="60" t="s">
        <v>321</v>
      </c>
      <c r="AZ90" s="60" t="s">
        <v>322</v>
      </c>
      <c r="BA90" s="60" t="s">
        <v>323</v>
      </c>
      <c r="BB90" s="60">
        <f t="shared" si="121"/>
        <v>9.3057999999999996</v>
      </c>
      <c r="BC90" s="60">
        <v>37.44</v>
      </c>
      <c r="BD90" s="60">
        <v>34.82</v>
      </c>
      <c r="BE90" s="60">
        <v>4.6100000000000003</v>
      </c>
      <c r="BF90" s="60">
        <v>6.5</v>
      </c>
      <c r="BG90" s="60"/>
      <c r="BH90" s="80">
        <f t="shared" si="122"/>
        <v>497.28523244235134</v>
      </c>
      <c r="BI90" s="60">
        <f t="shared" si="87"/>
        <v>40.329168527918789</v>
      </c>
      <c r="BJ90" s="80">
        <f t="shared" si="123"/>
        <v>555.09709552712297</v>
      </c>
      <c r="BK90" s="102">
        <f t="shared" si="124"/>
        <v>472.48279379768127</v>
      </c>
      <c r="BL90" s="43"/>
      <c r="BM90" s="43"/>
      <c r="BN90" s="33"/>
      <c r="BR90" s="127"/>
    </row>
    <row r="91" spans="1:70" ht="110.25" x14ac:dyDescent="0.25">
      <c r="A91" s="37" t="s">
        <v>161</v>
      </c>
      <c r="B91" s="78" t="s">
        <v>314</v>
      </c>
      <c r="C91" s="156" t="s">
        <v>435</v>
      </c>
      <c r="D91" s="156" t="s">
        <v>311</v>
      </c>
      <c r="E91" s="156">
        <v>4</v>
      </c>
      <c r="F91" s="156">
        <v>63.25</v>
      </c>
      <c r="G91" s="156">
        <v>0</v>
      </c>
      <c r="H91" s="101">
        <f t="shared" si="107"/>
        <v>0</v>
      </c>
      <c r="I91" s="156"/>
      <c r="J91" s="156">
        <f t="shared" si="108"/>
        <v>0</v>
      </c>
      <c r="K91" s="156"/>
      <c r="L91" s="156">
        <f t="shared" si="109"/>
        <v>0</v>
      </c>
      <c r="M91" s="156"/>
      <c r="N91" s="156">
        <v>25</v>
      </c>
      <c r="O91" s="156">
        <f t="shared" si="110"/>
        <v>15.8125</v>
      </c>
      <c r="P91" s="156"/>
      <c r="Q91" s="156"/>
      <c r="R91" s="156">
        <v>40</v>
      </c>
      <c r="S91" s="156">
        <f t="shared" si="111"/>
        <v>31.625</v>
      </c>
      <c r="T91" s="156">
        <v>30</v>
      </c>
      <c r="U91" s="156">
        <f t="shared" si="112"/>
        <v>33.206249999999997</v>
      </c>
      <c r="V91" s="156">
        <v>30</v>
      </c>
      <c r="W91" s="156">
        <f t="shared" si="113"/>
        <v>33.206249999999997</v>
      </c>
      <c r="X91" s="60">
        <f t="shared" si="114"/>
        <v>177.10000000000002</v>
      </c>
      <c r="Y91" s="60">
        <f t="shared" si="86"/>
        <v>1.5228426395939085</v>
      </c>
      <c r="Z91" s="60">
        <f t="shared" si="115"/>
        <v>10.626000000000001</v>
      </c>
      <c r="AA91" s="60">
        <f t="shared" si="116"/>
        <v>12.397000000000002</v>
      </c>
      <c r="AB91" s="60">
        <f t="shared" si="117"/>
        <v>201.64584263959392</v>
      </c>
      <c r="AC91" s="60">
        <f t="shared" si="104"/>
        <v>60.897044477157365</v>
      </c>
      <c r="AD91" s="60">
        <f t="shared" si="105"/>
        <v>24.802438644670051</v>
      </c>
      <c r="AE91" s="60">
        <f t="shared" si="106"/>
        <v>17.482694556852792</v>
      </c>
      <c r="AF91" s="60" t="s">
        <v>83</v>
      </c>
      <c r="AG91" s="159">
        <v>30.677966000000001</v>
      </c>
      <c r="AH91" s="121">
        <v>11.4</v>
      </c>
      <c r="AI91" s="60">
        <v>15.618</v>
      </c>
      <c r="AJ91" s="60">
        <v>15.846000000000002</v>
      </c>
      <c r="AK91" s="60">
        <v>16.871999999999996</v>
      </c>
      <c r="AL91" s="60">
        <f t="shared" si="100"/>
        <v>15.9885</v>
      </c>
      <c r="AM91" s="60">
        <f t="shared" si="78"/>
        <v>112.81377165993</v>
      </c>
      <c r="AN91" s="60"/>
      <c r="AO91" s="60"/>
      <c r="AP91" s="60"/>
      <c r="AQ91" s="60">
        <f t="shared" si="118"/>
        <v>0</v>
      </c>
      <c r="AR91" s="60">
        <f t="shared" si="119"/>
        <v>112.81377165993</v>
      </c>
      <c r="AS91" s="60" t="s">
        <v>320</v>
      </c>
      <c r="AT91" s="60">
        <v>201.7</v>
      </c>
      <c r="AU91" s="60">
        <v>0.6</v>
      </c>
      <c r="AV91" s="60">
        <f t="shared" si="120"/>
        <v>4.4503350209999999</v>
      </c>
      <c r="AW91" s="60">
        <v>50000</v>
      </c>
      <c r="AX91" s="60">
        <v>23</v>
      </c>
      <c r="AY91" s="60" t="s">
        <v>321</v>
      </c>
      <c r="AZ91" s="60" t="s">
        <v>322</v>
      </c>
      <c r="BA91" s="60" t="s">
        <v>323</v>
      </c>
      <c r="BB91" s="60">
        <f t="shared" si="121"/>
        <v>9.3057999999999996</v>
      </c>
      <c r="BC91" s="60">
        <v>37.44</v>
      </c>
      <c r="BD91" s="60">
        <v>34.82</v>
      </c>
      <c r="BE91" s="60">
        <v>4.6100000000000003</v>
      </c>
      <c r="BF91" s="60">
        <v>6.5</v>
      </c>
      <c r="BG91" s="60"/>
      <c r="BH91" s="80">
        <f t="shared" ref="BH91:BH97" si="125">AB91+AC91+AD91+AR91+AV91+BB91+BC91+BD91+BE91+BF91</f>
        <v>497.28523244235134</v>
      </c>
      <c r="BI91" s="60">
        <f t="shared" si="87"/>
        <v>40.329168527918789</v>
      </c>
      <c r="BJ91" s="80">
        <f t="shared" si="123"/>
        <v>555.09709552712297</v>
      </c>
      <c r="BK91" s="102">
        <f t="shared" si="124"/>
        <v>472.48279379768127</v>
      </c>
      <c r="BL91" s="43"/>
      <c r="BM91" s="43"/>
      <c r="BN91" s="33"/>
      <c r="BR91" s="127"/>
    </row>
    <row r="92" spans="1:70" ht="110.25" x14ac:dyDescent="0.25">
      <c r="A92" s="37" t="s">
        <v>162</v>
      </c>
      <c r="B92" s="78" t="s">
        <v>314</v>
      </c>
      <c r="C92" s="156" t="s">
        <v>379</v>
      </c>
      <c r="D92" s="156" t="s">
        <v>311</v>
      </c>
      <c r="E92" s="156">
        <v>4</v>
      </c>
      <c r="F92" s="156">
        <v>63.25</v>
      </c>
      <c r="G92" s="156">
        <v>0</v>
      </c>
      <c r="H92" s="101">
        <f t="shared" si="107"/>
        <v>0</v>
      </c>
      <c r="I92" s="156"/>
      <c r="J92" s="156">
        <f t="shared" si="108"/>
        <v>0</v>
      </c>
      <c r="K92" s="156"/>
      <c r="L92" s="156">
        <f t="shared" si="109"/>
        <v>0</v>
      </c>
      <c r="M92" s="156"/>
      <c r="N92" s="156">
        <v>25</v>
      </c>
      <c r="O92" s="156">
        <f t="shared" si="110"/>
        <v>15.8125</v>
      </c>
      <c r="P92" s="156"/>
      <c r="Q92" s="156"/>
      <c r="R92" s="156">
        <v>40</v>
      </c>
      <c r="S92" s="156">
        <f t="shared" si="111"/>
        <v>31.625</v>
      </c>
      <c r="T92" s="156">
        <v>30</v>
      </c>
      <c r="U92" s="156">
        <f t="shared" si="112"/>
        <v>33.206249999999997</v>
      </c>
      <c r="V92" s="156">
        <v>30</v>
      </c>
      <c r="W92" s="156">
        <f t="shared" si="113"/>
        <v>33.206249999999997</v>
      </c>
      <c r="X92" s="60">
        <f t="shared" si="114"/>
        <v>177.10000000000002</v>
      </c>
      <c r="Y92" s="60">
        <f t="shared" si="86"/>
        <v>1.5228426395939085</v>
      </c>
      <c r="Z92" s="60">
        <f t="shared" si="115"/>
        <v>10.626000000000001</v>
      </c>
      <c r="AA92" s="60">
        <f t="shared" si="116"/>
        <v>12.397000000000002</v>
      </c>
      <c r="AB92" s="60">
        <f t="shared" si="117"/>
        <v>201.64584263959392</v>
      </c>
      <c r="AC92" s="60">
        <f t="shared" si="104"/>
        <v>60.897044477157365</v>
      </c>
      <c r="AD92" s="60">
        <f t="shared" si="105"/>
        <v>24.802438644670051</v>
      </c>
      <c r="AE92" s="60">
        <f t="shared" si="106"/>
        <v>17.482694556852792</v>
      </c>
      <c r="AF92" s="60" t="s">
        <v>83</v>
      </c>
      <c r="AG92" s="159">
        <v>30.677966000000001</v>
      </c>
      <c r="AH92" s="121">
        <v>11.4</v>
      </c>
      <c r="AI92" s="60">
        <v>15.618</v>
      </c>
      <c r="AJ92" s="60">
        <v>15.846000000000002</v>
      </c>
      <c r="AK92" s="60">
        <v>16.871999999999996</v>
      </c>
      <c r="AL92" s="60">
        <f t="shared" si="100"/>
        <v>15.9885</v>
      </c>
      <c r="AM92" s="60">
        <f t="shared" si="78"/>
        <v>112.81377165993</v>
      </c>
      <c r="AN92" s="60"/>
      <c r="AO92" s="60"/>
      <c r="AP92" s="60"/>
      <c r="AQ92" s="60">
        <f t="shared" si="118"/>
        <v>0</v>
      </c>
      <c r="AR92" s="60">
        <f t="shared" si="119"/>
        <v>112.81377165993</v>
      </c>
      <c r="AS92" s="60" t="s">
        <v>320</v>
      </c>
      <c r="AT92" s="60">
        <v>201.7</v>
      </c>
      <c r="AU92" s="60">
        <v>0.6</v>
      </c>
      <c r="AV92" s="60">
        <f t="shared" si="120"/>
        <v>4.4503350209999999</v>
      </c>
      <c r="AW92" s="60">
        <v>50000</v>
      </c>
      <c r="AX92" s="60">
        <v>23</v>
      </c>
      <c r="AY92" s="60" t="s">
        <v>321</v>
      </c>
      <c r="AZ92" s="60" t="s">
        <v>322</v>
      </c>
      <c r="BA92" s="60" t="s">
        <v>323</v>
      </c>
      <c r="BB92" s="60">
        <f t="shared" si="121"/>
        <v>9.3057999999999996</v>
      </c>
      <c r="BC92" s="60">
        <v>37.44</v>
      </c>
      <c r="BD92" s="60">
        <v>34.82</v>
      </c>
      <c r="BE92" s="60">
        <v>4.6100000000000003</v>
      </c>
      <c r="BF92" s="60">
        <v>6.5</v>
      </c>
      <c r="BG92" s="60"/>
      <c r="BH92" s="80">
        <f t="shared" si="125"/>
        <v>497.28523244235134</v>
      </c>
      <c r="BI92" s="60">
        <f t="shared" si="87"/>
        <v>40.329168527918789</v>
      </c>
      <c r="BJ92" s="80">
        <f t="shared" si="123"/>
        <v>555.09709552712297</v>
      </c>
      <c r="BK92" s="102">
        <f t="shared" si="124"/>
        <v>472.48279379768127</v>
      </c>
      <c r="BL92" s="43"/>
      <c r="BM92" s="43"/>
      <c r="BN92" s="33"/>
      <c r="BR92" s="127"/>
    </row>
    <row r="93" spans="1:70" ht="110.25" x14ac:dyDescent="0.25">
      <c r="A93" s="37" t="s">
        <v>163</v>
      </c>
      <c r="B93" s="78" t="s">
        <v>314</v>
      </c>
      <c r="C93" s="156" t="s">
        <v>388</v>
      </c>
      <c r="D93" s="156" t="s">
        <v>311</v>
      </c>
      <c r="E93" s="156">
        <v>4</v>
      </c>
      <c r="F93" s="156">
        <v>63.25</v>
      </c>
      <c r="G93" s="156">
        <v>0</v>
      </c>
      <c r="H93" s="101">
        <f t="shared" si="107"/>
        <v>0</v>
      </c>
      <c r="I93" s="156"/>
      <c r="J93" s="156">
        <f t="shared" si="108"/>
        <v>0</v>
      </c>
      <c r="K93" s="156"/>
      <c r="L93" s="156">
        <f t="shared" si="109"/>
        <v>0</v>
      </c>
      <c r="M93" s="156"/>
      <c r="N93" s="156">
        <v>25</v>
      </c>
      <c r="O93" s="156">
        <f t="shared" si="110"/>
        <v>15.8125</v>
      </c>
      <c r="P93" s="156"/>
      <c r="Q93" s="156"/>
      <c r="R93" s="156">
        <v>40</v>
      </c>
      <c r="S93" s="156">
        <f t="shared" si="111"/>
        <v>31.625</v>
      </c>
      <c r="T93" s="156">
        <v>30</v>
      </c>
      <c r="U93" s="156">
        <f t="shared" si="112"/>
        <v>33.206249999999997</v>
      </c>
      <c r="V93" s="156">
        <v>30</v>
      </c>
      <c r="W93" s="156">
        <f t="shared" si="113"/>
        <v>33.206249999999997</v>
      </c>
      <c r="X93" s="60">
        <f t="shared" si="114"/>
        <v>177.10000000000002</v>
      </c>
      <c r="Y93" s="60">
        <f t="shared" si="86"/>
        <v>1.5228426395939085</v>
      </c>
      <c r="Z93" s="60">
        <f t="shared" si="115"/>
        <v>10.626000000000001</v>
      </c>
      <c r="AA93" s="60">
        <f t="shared" si="116"/>
        <v>12.397000000000002</v>
      </c>
      <c r="AB93" s="60">
        <f t="shared" si="117"/>
        <v>201.64584263959392</v>
      </c>
      <c r="AC93" s="60">
        <f t="shared" si="104"/>
        <v>60.897044477157365</v>
      </c>
      <c r="AD93" s="60">
        <f t="shared" si="105"/>
        <v>24.802438644670051</v>
      </c>
      <c r="AE93" s="60">
        <f t="shared" si="106"/>
        <v>17.482694556852792</v>
      </c>
      <c r="AF93" s="60" t="s">
        <v>83</v>
      </c>
      <c r="AG93" s="159">
        <v>30.677966000000001</v>
      </c>
      <c r="AH93" s="121">
        <v>11.4</v>
      </c>
      <c r="AI93" s="60">
        <v>15.618</v>
      </c>
      <c r="AJ93" s="60">
        <v>15.846000000000002</v>
      </c>
      <c r="AK93" s="60">
        <v>16.871999999999996</v>
      </c>
      <c r="AL93" s="60">
        <f t="shared" si="100"/>
        <v>15.9885</v>
      </c>
      <c r="AM93" s="60">
        <f t="shared" si="78"/>
        <v>112.81377165993</v>
      </c>
      <c r="AN93" s="60"/>
      <c r="AO93" s="60"/>
      <c r="AP93" s="60"/>
      <c r="AQ93" s="60">
        <f t="shared" si="118"/>
        <v>0</v>
      </c>
      <c r="AR93" s="60">
        <f t="shared" si="119"/>
        <v>112.81377165993</v>
      </c>
      <c r="AS93" s="60" t="s">
        <v>320</v>
      </c>
      <c r="AT93" s="60">
        <v>201.7</v>
      </c>
      <c r="AU93" s="60">
        <v>0.6</v>
      </c>
      <c r="AV93" s="60">
        <f t="shared" si="120"/>
        <v>4.4503350209999999</v>
      </c>
      <c r="AW93" s="60">
        <v>50000</v>
      </c>
      <c r="AX93" s="60">
        <v>23</v>
      </c>
      <c r="AY93" s="60" t="s">
        <v>321</v>
      </c>
      <c r="AZ93" s="60" t="s">
        <v>322</v>
      </c>
      <c r="BA93" s="60" t="s">
        <v>323</v>
      </c>
      <c r="BB93" s="60">
        <f t="shared" si="121"/>
        <v>9.3057999999999996</v>
      </c>
      <c r="BC93" s="60">
        <v>37.44</v>
      </c>
      <c r="BD93" s="60">
        <v>34.82</v>
      </c>
      <c r="BE93" s="60">
        <v>4.6100000000000003</v>
      </c>
      <c r="BF93" s="60">
        <v>6.5</v>
      </c>
      <c r="BG93" s="60"/>
      <c r="BH93" s="80">
        <f t="shared" si="125"/>
        <v>497.28523244235134</v>
      </c>
      <c r="BI93" s="60">
        <f t="shared" si="87"/>
        <v>40.329168527918789</v>
      </c>
      <c r="BJ93" s="80">
        <f t="shared" si="123"/>
        <v>555.09709552712297</v>
      </c>
      <c r="BK93" s="102">
        <f t="shared" si="124"/>
        <v>472.48279379768127</v>
      </c>
      <c r="BL93" s="43"/>
      <c r="BM93" s="43"/>
      <c r="BN93" s="33"/>
      <c r="BR93" s="127"/>
    </row>
    <row r="94" spans="1:70" ht="78.75" x14ac:dyDescent="0.25">
      <c r="A94" s="37" t="s">
        <v>164</v>
      </c>
      <c r="B94" s="78" t="s">
        <v>283</v>
      </c>
      <c r="C94" s="156" t="s">
        <v>284</v>
      </c>
      <c r="D94" s="156" t="s">
        <v>311</v>
      </c>
      <c r="E94" s="156">
        <v>4</v>
      </c>
      <c r="F94" s="46">
        <v>79.069999999999993</v>
      </c>
      <c r="G94" s="156">
        <v>0</v>
      </c>
      <c r="H94" s="101">
        <f>F94*G94/100</f>
        <v>0</v>
      </c>
      <c r="I94" s="156"/>
      <c r="J94" s="156">
        <f>F94*I94/100</f>
        <v>0</v>
      </c>
      <c r="K94" s="156"/>
      <c r="L94" s="156">
        <f>F94*K94/100</f>
        <v>0</v>
      </c>
      <c r="M94" s="156"/>
      <c r="N94" s="156"/>
      <c r="O94" s="156">
        <f>F94*N94/100</f>
        <v>0</v>
      </c>
      <c r="P94" s="156"/>
      <c r="Q94" s="156"/>
      <c r="R94" s="156">
        <v>40</v>
      </c>
      <c r="S94" s="156">
        <f>(F94+H94+J94+L94+M94+O94+Q94)*R94/100</f>
        <v>31.627999999999997</v>
      </c>
      <c r="T94" s="156">
        <v>30</v>
      </c>
      <c r="U94" s="156">
        <f>(F94+H94+J94+L94+M94+O94+Q94+S94)*30/100</f>
        <v>33.209399999999995</v>
      </c>
      <c r="V94" s="156">
        <v>30</v>
      </c>
      <c r="W94" s="156">
        <f>U94</f>
        <v>33.209399999999995</v>
      </c>
      <c r="X94" s="60">
        <f>F94+H94+J94+L94+M94+O94+Q94+S94+U94+W94</f>
        <v>177.11679999999998</v>
      </c>
      <c r="Y94" s="60">
        <f t="shared" si="86"/>
        <v>1.5228426395939085</v>
      </c>
      <c r="Z94" s="60">
        <f>X94*0.06</f>
        <v>10.627007999999998</v>
      </c>
      <c r="AA94" s="60">
        <f>X94*0.07</f>
        <v>12.398175999999999</v>
      </c>
      <c r="AB94" s="60">
        <f>X94+Y94+Z94+AA94</f>
        <v>201.66482663959388</v>
      </c>
      <c r="AC94" s="60">
        <f t="shared" si="104"/>
        <v>60.90277764515735</v>
      </c>
      <c r="AD94" s="60">
        <f t="shared" si="105"/>
        <v>24.804773676670049</v>
      </c>
      <c r="AE94" s="60">
        <f t="shared" si="106"/>
        <v>17.484340469652789</v>
      </c>
      <c r="AF94" s="60" t="s">
        <v>83</v>
      </c>
      <c r="AG94" s="159">
        <v>30.677966000000001</v>
      </c>
      <c r="AH94" s="60">
        <v>18.3</v>
      </c>
      <c r="AI94" s="60">
        <v>23.241</v>
      </c>
      <c r="AJ94" s="60">
        <v>23.606999999999999</v>
      </c>
      <c r="AK94" s="60">
        <v>25.253999999999998</v>
      </c>
      <c r="AL94" s="60">
        <f t="shared" si="100"/>
        <v>23.835750000000001</v>
      </c>
      <c r="AM94" s="60">
        <f t="shared" si="78"/>
        <v>168.183435459435</v>
      </c>
      <c r="AN94" s="60" t="s">
        <v>240</v>
      </c>
      <c r="AO94" s="60">
        <v>6.4</v>
      </c>
      <c r="AP94" s="60">
        <v>0.4</v>
      </c>
      <c r="AQ94" s="60">
        <f>AG94*AO94*AP94</f>
        <v>78.535592960000017</v>
      </c>
      <c r="AR94" s="60">
        <f>AM94+AQ94</f>
        <v>246.71902841943501</v>
      </c>
      <c r="AS94" s="60" t="s">
        <v>172</v>
      </c>
      <c r="AT94" s="60">
        <v>63.56</v>
      </c>
      <c r="AU94" s="60">
        <v>3.48</v>
      </c>
      <c r="AV94" s="60">
        <f>AU94/100*AL94*0.23*AT94</f>
        <v>12.12606216108</v>
      </c>
      <c r="AW94" s="60">
        <v>50000</v>
      </c>
      <c r="AX94" s="60">
        <v>23</v>
      </c>
      <c r="AY94" s="60" t="s">
        <v>291</v>
      </c>
      <c r="AZ94" s="60">
        <v>7057</v>
      </c>
      <c r="BA94" s="80">
        <v>7</v>
      </c>
      <c r="BB94" s="60">
        <f>AZ94*BA94/2000</f>
        <v>24.6995</v>
      </c>
      <c r="BC94" s="60">
        <v>37.44</v>
      </c>
      <c r="BD94" s="60">
        <v>34.82</v>
      </c>
      <c r="BE94" s="60">
        <v>0</v>
      </c>
      <c r="BF94" s="60">
        <v>6.5</v>
      </c>
      <c r="BG94" s="60"/>
      <c r="BH94" s="80">
        <f t="shared" si="125"/>
        <v>649.67696854193639</v>
      </c>
      <c r="BI94" s="60">
        <f t="shared" si="87"/>
        <v>40.332965327918778</v>
      </c>
      <c r="BJ94" s="80">
        <f>BH94+AE94+BI94</f>
        <v>707.49427433950802</v>
      </c>
      <c r="BK94" s="102">
        <f t="shared" si="77"/>
        <v>624.87219486526635</v>
      </c>
      <c r="BL94" s="43"/>
      <c r="BM94" s="43"/>
      <c r="BN94" s="33"/>
      <c r="BR94" s="127"/>
    </row>
    <row r="95" spans="1:70" ht="47.25" x14ac:dyDescent="0.25">
      <c r="A95" s="92">
        <v>81</v>
      </c>
      <c r="B95" s="156" t="s">
        <v>15</v>
      </c>
      <c r="C95" s="156" t="s">
        <v>16</v>
      </c>
      <c r="D95" s="156" t="s">
        <v>311</v>
      </c>
      <c r="E95" s="156">
        <v>4</v>
      </c>
      <c r="F95" s="156">
        <v>86.44</v>
      </c>
      <c r="G95" s="156">
        <v>0</v>
      </c>
      <c r="H95" s="101">
        <f>F95*G95/100</f>
        <v>0</v>
      </c>
      <c r="I95" s="156"/>
      <c r="J95" s="156">
        <f>F95*I95/100</f>
        <v>0</v>
      </c>
      <c r="K95" s="156"/>
      <c r="L95" s="156">
        <f>F95*K95/100</f>
        <v>0</v>
      </c>
      <c r="M95" s="156"/>
      <c r="N95" s="156">
        <v>25</v>
      </c>
      <c r="O95" s="156">
        <f>F95*N95/100</f>
        <v>21.61</v>
      </c>
      <c r="P95" s="156">
        <v>15</v>
      </c>
      <c r="Q95" s="156">
        <f>F95*0.15</f>
        <v>12.965999999999999</v>
      </c>
      <c r="R95" s="156">
        <v>40</v>
      </c>
      <c r="S95" s="156">
        <f>(F95+H95+J95+L95+M95+O95+Q95)*R95/100</f>
        <v>48.406399999999991</v>
      </c>
      <c r="T95" s="156">
        <v>30</v>
      </c>
      <c r="U95" s="156">
        <f>(F95+H95+J95+L95+M95+O95+Q95+S95)*30/100</f>
        <v>50.826719999999995</v>
      </c>
      <c r="V95" s="156">
        <v>30</v>
      </c>
      <c r="W95" s="156">
        <f>U95</f>
        <v>50.826719999999995</v>
      </c>
      <c r="X95" s="60">
        <f>F95+H95+J95+L95+M95+O95+Q95+S95+U95+W95</f>
        <v>271.07583999999997</v>
      </c>
      <c r="Y95" s="60">
        <f t="shared" si="86"/>
        <v>1.5228426395939085</v>
      </c>
      <c r="Z95" s="60">
        <f>X95*0.06</f>
        <v>16.264550399999997</v>
      </c>
      <c r="AA95" s="60">
        <f>X95*0.07</f>
        <v>18.975308800000001</v>
      </c>
      <c r="AB95" s="60">
        <f>X95+Y95+Z95+AA95</f>
        <v>307.83854183959392</v>
      </c>
      <c r="AC95" s="60">
        <f t="shared" si="104"/>
        <v>92.967239635557362</v>
      </c>
      <c r="AD95" s="60">
        <f t="shared" si="105"/>
        <v>37.864140646270052</v>
      </c>
      <c r="AE95" s="60">
        <f t="shared" si="106"/>
        <v>26.689601577492795</v>
      </c>
      <c r="AF95" s="60" t="s">
        <v>87</v>
      </c>
      <c r="AG95" s="60">
        <v>30.34</v>
      </c>
      <c r="AH95" s="60">
        <v>11.2</v>
      </c>
      <c r="AI95" s="60">
        <v>14.224</v>
      </c>
      <c r="AJ95" s="60">
        <v>14.448</v>
      </c>
      <c r="AK95" s="60">
        <v>15.456</v>
      </c>
      <c r="AL95" s="60">
        <f t="shared" si="100"/>
        <v>14.587999999999999</v>
      </c>
      <c r="AM95" s="60">
        <f t="shared" si="78"/>
        <v>101.79798159999999</v>
      </c>
      <c r="AN95" s="60"/>
      <c r="AO95" s="60"/>
      <c r="AP95" s="60"/>
      <c r="AQ95" s="60">
        <f>AG95*AO95*AP95</f>
        <v>0</v>
      </c>
      <c r="AR95" s="60">
        <f>AM95+AQ95</f>
        <v>101.79798159999999</v>
      </c>
      <c r="AS95" s="60"/>
      <c r="AT95" s="60"/>
      <c r="AU95" s="60"/>
      <c r="AV95" s="60">
        <v>0</v>
      </c>
      <c r="AW95" s="60">
        <v>50000</v>
      </c>
      <c r="AX95" s="60">
        <v>23</v>
      </c>
      <c r="AY95" s="60" t="s">
        <v>227</v>
      </c>
      <c r="AZ95" s="60">
        <v>7011.87</v>
      </c>
      <c r="BA95" s="80">
        <v>4</v>
      </c>
      <c r="BB95" s="60">
        <f t="shared" ref="BB95:BB103" si="126">AZ95*BA95/AW95*AX95</f>
        <v>12.901840799999999</v>
      </c>
      <c r="BC95" s="60">
        <v>37.44</v>
      </c>
      <c r="BD95" s="60">
        <v>34.82</v>
      </c>
      <c r="BE95" s="60">
        <v>126.34</v>
      </c>
      <c r="BF95" s="60">
        <v>6.5</v>
      </c>
      <c r="BG95" s="60"/>
      <c r="BH95" s="80">
        <f t="shared" si="125"/>
        <v>758.46974452142126</v>
      </c>
      <c r="BI95" s="60">
        <f t="shared" si="87"/>
        <v>61.567708367918783</v>
      </c>
      <c r="BJ95" s="80">
        <f>BH95+AE95+BI95</f>
        <v>846.7270544668329</v>
      </c>
      <c r="BK95" s="102"/>
      <c r="BL95" s="43"/>
      <c r="BM95" s="43"/>
      <c r="BN95" s="33"/>
      <c r="BR95" s="127"/>
    </row>
    <row r="96" spans="1:70" ht="94.5" x14ac:dyDescent="0.25">
      <c r="A96" s="92">
        <v>82</v>
      </c>
      <c r="B96" s="156" t="s">
        <v>37</v>
      </c>
      <c r="C96" s="156" t="s">
        <v>7</v>
      </c>
      <c r="D96" s="156" t="s">
        <v>311</v>
      </c>
      <c r="E96" s="156">
        <v>4</v>
      </c>
      <c r="F96" s="156">
        <v>63.25</v>
      </c>
      <c r="G96" s="156">
        <v>6</v>
      </c>
      <c r="H96" s="101">
        <f>F96*G96/100</f>
        <v>3.7949999999999999</v>
      </c>
      <c r="I96" s="156"/>
      <c r="J96" s="156">
        <f>F96*I96/100</f>
        <v>0</v>
      </c>
      <c r="K96" s="156"/>
      <c r="L96" s="156">
        <f>F96*K96/100</f>
        <v>0</v>
      </c>
      <c r="M96" s="156"/>
      <c r="N96" s="156">
        <v>25</v>
      </c>
      <c r="O96" s="156">
        <f>F96*N96/100</f>
        <v>15.8125</v>
      </c>
      <c r="P96" s="156"/>
      <c r="Q96" s="156"/>
      <c r="R96" s="156">
        <v>40</v>
      </c>
      <c r="S96" s="156">
        <f>(F96+H96+J96+L96+M96+O96+Q96)*R96/100</f>
        <v>33.143000000000001</v>
      </c>
      <c r="T96" s="156">
        <v>30</v>
      </c>
      <c r="U96" s="156">
        <f>(F96+H96+J96+L96+M96+O96+Q96+S96)*30/100</f>
        <v>34.800150000000002</v>
      </c>
      <c r="V96" s="156">
        <v>30</v>
      </c>
      <c r="W96" s="156">
        <f>U96</f>
        <v>34.800150000000002</v>
      </c>
      <c r="X96" s="60">
        <f>F96+H96+J96+L96+M96+O96+Q96+S96+U96+W96</f>
        <v>185.60080000000002</v>
      </c>
      <c r="Y96" s="60">
        <f t="shared" si="86"/>
        <v>1.5228426395939085</v>
      </c>
      <c r="Z96" s="60">
        <f>X96*0.06</f>
        <v>11.136048000000001</v>
      </c>
      <c r="AA96" s="60">
        <f>X96*0.07</f>
        <v>12.992056000000003</v>
      </c>
      <c r="AB96" s="60">
        <f>X96+Y96+Z96+AA96</f>
        <v>211.2517466395939</v>
      </c>
      <c r="AC96" s="60">
        <f t="shared" si="104"/>
        <v>63.798027485157355</v>
      </c>
      <c r="AD96" s="60">
        <f t="shared" si="105"/>
        <v>25.983964836670051</v>
      </c>
      <c r="AE96" s="60">
        <f t="shared" si="106"/>
        <v>18.315526433652792</v>
      </c>
      <c r="AF96" s="60" t="s">
        <v>86</v>
      </c>
      <c r="AG96" s="159">
        <v>30.677966000000001</v>
      </c>
      <c r="AH96" s="60">
        <v>11.79</v>
      </c>
      <c r="AI96" s="60">
        <v>16.505999999999997</v>
      </c>
      <c r="AJ96" s="60">
        <v>17.567099999999996</v>
      </c>
      <c r="AK96" s="60">
        <v>18.628199999999996</v>
      </c>
      <c r="AL96" s="60">
        <f t="shared" si="100"/>
        <v>17.301824999999994</v>
      </c>
      <c r="AM96" s="60">
        <f t="shared" si="78"/>
        <v>122.08050379022846</v>
      </c>
      <c r="AN96" s="60"/>
      <c r="AO96" s="60"/>
      <c r="AP96" s="60"/>
      <c r="AQ96" s="60">
        <f>AG96*AO96*AP96</f>
        <v>0</v>
      </c>
      <c r="AR96" s="60">
        <f>AM96+AQ96</f>
        <v>122.08050379022846</v>
      </c>
      <c r="AS96" s="60" t="s">
        <v>266</v>
      </c>
      <c r="AT96" s="60">
        <v>456</v>
      </c>
      <c r="AU96" s="60">
        <v>0.72</v>
      </c>
      <c r="AV96" s="60">
        <f t="shared" ref="AV96:AV101" si="127">AL96/100*23*AU96/100*AT96</f>
        <v>13.065230923199994</v>
      </c>
      <c r="AW96" s="60">
        <v>50000</v>
      </c>
      <c r="AX96" s="60">
        <v>23</v>
      </c>
      <c r="AY96" s="60" t="s">
        <v>190</v>
      </c>
      <c r="AZ96" s="60">
        <v>4943.22</v>
      </c>
      <c r="BA96" s="80">
        <v>4</v>
      </c>
      <c r="BB96" s="60">
        <f t="shared" si="126"/>
        <v>9.0955247999999997</v>
      </c>
      <c r="BC96" s="60">
        <v>37.44</v>
      </c>
      <c r="BD96" s="60">
        <v>34.82</v>
      </c>
      <c r="BE96" s="60">
        <v>41.88</v>
      </c>
      <c r="BF96" s="60">
        <v>6.5</v>
      </c>
      <c r="BG96" s="60"/>
      <c r="BH96" s="80">
        <f t="shared" si="125"/>
        <v>565.91499847484977</v>
      </c>
      <c r="BI96" s="60">
        <f t="shared" si="87"/>
        <v>42.250349327918784</v>
      </c>
      <c r="BJ96" s="80">
        <f>BH96+AE96+BI96</f>
        <v>626.4808742364213</v>
      </c>
      <c r="BK96" s="102">
        <f>BH96-AD96</f>
        <v>539.93103363817977</v>
      </c>
      <c r="BL96" s="43"/>
      <c r="BM96" s="43"/>
      <c r="BN96" s="33"/>
      <c r="BR96" s="127"/>
    </row>
    <row r="97" spans="1:70" ht="94.5" x14ac:dyDescent="0.25">
      <c r="A97" s="92">
        <v>83</v>
      </c>
      <c r="B97" s="156" t="s">
        <v>70</v>
      </c>
      <c r="C97" s="156" t="s">
        <v>71</v>
      </c>
      <c r="D97" s="156" t="s">
        <v>311</v>
      </c>
      <c r="E97" s="156">
        <v>4</v>
      </c>
      <c r="F97" s="156">
        <v>79.069999999999993</v>
      </c>
      <c r="G97" s="156">
        <v>6</v>
      </c>
      <c r="H97" s="101">
        <f>F97*G97/100</f>
        <v>4.7441999999999993</v>
      </c>
      <c r="I97" s="156"/>
      <c r="J97" s="156">
        <f>F97*I97/100</f>
        <v>0</v>
      </c>
      <c r="K97" s="156"/>
      <c r="L97" s="156">
        <f>F97*K97/100</f>
        <v>0</v>
      </c>
      <c r="M97" s="156"/>
      <c r="N97" s="156">
        <v>25</v>
      </c>
      <c r="O97" s="156">
        <f>F97*N97/100</f>
        <v>19.767499999999998</v>
      </c>
      <c r="P97" s="156"/>
      <c r="Q97" s="156"/>
      <c r="R97" s="156">
        <v>40</v>
      </c>
      <c r="S97" s="156">
        <f>(F97+H97+J97+L97+M97+O97+Q97)*R97/100</f>
        <v>41.432679999999998</v>
      </c>
      <c r="T97" s="156">
        <v>30</v>
      </c>
      <c r="U97" s="156">
        <f>(F97+H97+J97+L97+M97+O97+Q97+S97)*30/100</f>
        <v>43.504313999999994</v>
      </c>
      <c r="V97" s="156">
        <v>30</v>
      </c>
      <c r="W97" s="156">
        <f>U97</f>
        <v>43.504313999999994</v>
      </c>
      <c r="X97" s="60">
        <f>F97+H97+J97+L97+M97+O97+Q97+S97+U97+W97</f>
        <v>232.02300799999998</v>
      </c>
      <c r="Y97" s="60">
        <f t="shared" si="86"/>
        <v>1.5228426395939085</v>
      </c>
      <c r="Z97" s="60">
        <f>X97*0.06</f>
        <v>13.921380479999998</v>
      </c>
      <c r="AA97" s="60">
        <f>X97*0.07</f>
        <v>16.241610560000002</v>
      </c>
      <c r="AB97" s="60">
        <f>X97+Y97+Z97+AA97</f>
        <v>263.70884167959389</v>
      </c>
      <c r="AC97" s="60">
        <f t="shared" si="104"/>
        <v>79.640070187237356</v>
      </c>
      <c r="AD97" s="60">
        <f t="shared" si="105"/>
        <v>32.436187526590047</v>
      </c>
      <c r="AE97" s="60">
        <f t="shared" si="106"/>
        <v>22.863556573620791</v>
      </c>
      <c r="AF97" s="60" t="s">
        <v>86</v>
      </c>
      <c r="AG97" s="159">
        <v>30.677966000000001</v>
      </c>
      <c r="AH97" s="60">
        <v>12.8</v>
      </c>
      <c r="AI97" s="60">
        <v>16.64</v>
      </c>
      <c r="AJ97" s="60">
        <v>17.792000000000002</v>
      </c>
      <c r="AK97" s="60">
        <v>18.944000000000003</v>
      </c>
      <c r="AL97" s="60">
        <f t="shared" si="100"/>
        <v>17.504000000000001</v>
      </c>
      <c r="AM97" s="60">
        <f t="shared" si="78"/>
        <v>123.50703687872002</v>
      </c>
      <c r="AN97" s="60" t="s">
        <v>170</v>
      </c>
      <c r="AO97" s="60">
        <v>5.44</v>
      </c>
      <c r="AP97" s="60">
        <v>0.2</v>
      </c>
      <c r="AQ97" s="60">
        <f>AG97*AO97*AP97</f>
        <v>33.377627008000005</v>
      </c>
      <c r="AR97" s="60">
        <f>AM97+AQ97</f>
        <v>156.88466388672003</v>
      </c>
      <c r="AS97" s="60" t="s">
        <v>266</v>
      </c>
      <c r="AT97" s="60">
        <v>456</v>
      </c>
      <c r="AU97" s="60">
        <v>0.72</v>
      </c>
      <c r="AV97" s="60">
        <f t="shared" si="127"/>
        <v>13.217900544000001</v>
      </c>
      <c r="AW97" s="60">
        <v>50000</v>
      </c>
      <c r="AX97" s="60">
        <v>23</v>
      </c>
      <c r="AY97" s="60" t="s">
        <v>190</v>
      </c>
      <c r="AZ97" s="60">
        <v>4943.22</v>
      </c>
      <c r="BA97" s="80">
        <v>4</v>
      </c>
      <c r="BB97" s="60">
        <f t="shared" si="126"/>
        <v>9.0955247999999997</v>
      </c>
      <c r="BC97" s="60">
        <v>37.44</v>
      </c>
      <c r="BD97" s="60">
        <v>34.82</v>
      </c>
      <c r="BE97" s="60">
        <v>226.67</v>
      </c>
      <c r="BF97" s="60">
        <v>6.5</v>
      </c>
      <c r="BG97" s="60"/>
      <c r="BH97" s="80">
        <f t="shared" si="125"/>
        <v>860.41318862414141</v>
      </c>
      <c r="BI97" s="60">
        <f t="shared" si="87"/>
        <v>52.741768335918778</v>
      </c>
      <c r="BJ97" s="80">
        <f>BH97+AE97+BI97</f>
        <v>936.01851353368102</v>
      </c>
      <c r="BK97" s="102">
        <f>BH97-AD97</f>
        <v>827.97700109755135</v>
      </c>
      <c r="BL97" s="43"/>
      <c r="BM97" s="43"/>
      <c r="BN97" s="33"/>
      <c r="BR97" s="127"/>
    </row>
    <row r="98" spans="1:70" ht="94.5" x14ac:dyDescent="0.25">
      <c r="A98" s="92">
        <v>84</v>
      </c>
      <c r="B98" s="78" t="s">
        <v>236</v>
      </c>
      <c r="C98" s="156" t="s">
        <v>204</v>
      </c>
      <c r="D98" s="156" t="s">
        <v>311</v>
      </c>
      <c r="E98" s="156">
        <v>4</v>
      </c>
      <c r="F98" s="156">
        <v>82.75</v>
      </c>
      <c r="G98" s="156">
        <v>0</v>
      </c>
      <c r="H98" s="101">
        <f t="shared" ref="H98:H103" si="128">F98*G98/100</f>
        <v>0</v>
      </c>
      <c r="I98" s="156"/>
      <c r="J98" s="156">
        <f t="shared" ref="J98:J103" si="129">F98*I98/100</f>
        <v>0</v>
      </c>
      <c r="K98" s="156"/>
      <c r="L98" s="156">
        <f t="shared" ref="L98:L103" si="130">F98*K98/100</f>
        <v>0</v>
      </c>
      <c r="M98" s="156"/>
      <c r="N98" s="156">
        <v>25</v>
      </c>
      <c r="O98" s="156">
        <f t="shared" ref="O98:O103" si="131">F98*N98/100</f>
        <v>20.6875</v>
      </c>
      <c r="P98" s="156"/>
      <c r="Q98" s="156"/>
      <c r="R98" s="156">
        <v>40</v>
      </c>
      <c r="S98" s="156">
        <f t="shared" ref="S98:S103" si="132">(F98+H98+J98+L98+M98+O98+Q98)*R98/100</f>
        <v>41.375</v>
      </c>
      <c r="T98" s="156">
        <v>30</v>
      </c>
      <c r="U98" s="156">
        <f t="shared" ref="U98:U103" si="133">(F98+H98+J98+L98+M98+O98+Q98+S98)*30/100</f>
        <v>43.443750000000001</v>
      </c>
      <c r="V98" s="156">
        <v>30</v>
      </c>
      <c r="W98" s="156">
        <f t="shared" ref="W98:W103" si="134">U98</f>
        <v>43.443750000000001</v>
      </c>
      <c r="X98" s="60">
        <f t="shared" ref="X98:X103" si="135">F98+H98+J98+L98+M98+O98+Q98+S98+U98+W98</f>
        <v>231.7</v>
      </c>
      <c r="Y98" s="60">
        <f t="shared" si="86"/>
        <v>1.5228426395939085</v>
      </c>
      <c r="Z98" s="60">
        <f t="shared" ref="Z98:Z103" si="136">X98*0.06</f>
        <v>13.901999999999999</v>
      </c>
      <c r="AA98" s="60">
        <f t="shared" ref="AA98:AA103" si="137">X98*0.07</f>
        <v>16.219000000000001</v>
      </c>
      <c r="AB98" s="60">
        <f t="shared" ref="AB98:AB103" si="138">X98+Y98+Z98+AA98</f>
        <v>263.3438426395939</v>
      </c>
      <c r="AC98" s="60">
        <f t="shared" si="104"/>
        <v>79.52984047715735</v>
      </c>
      <c r="AD98" s="60">
        <f t="shared" si="105"/>
        <v>32.391292644670052</v>
      </c>
      <c r="AE98" s="60">
        <f t="shared" si="106"/>
        <v>22.831911156852794</v>
      </c>
      <c r="AF98" s="60" t="s">
        <v>87</v>
      </c>
      <c r="AG98" s="159">
        <v>31.567796999999999</v>
      </c>
      <c r="AH98" s="60">
        <v>9.83</v>
      </c>
      <c r="AI98" s="60">
        <v>12.4841</v>
      </c>
      <c r="AJ98" s="60">
        <v>12.6807</v>
      </c>
      <c r="AK98" s="60">
        <v>13.565399999999999</v>
      </c>
      <c r="AL98" s="60">
        <f t="shared" si="100"/>
        <v>12.803575</v>
      </c>
      <c r="AM98" s="60">
        <f t="shared" si="78"/>
        <v>92.961550989083236</v>
      </c>
      <c r="AN98" s="60"/>
      <c r="AO98" s="60"/>
      <c r="AP98" s="60"/>
      <c r="AQ98" s="60">
        <f t="shared" ref="AQ98:AQ103" si="139">AG98*AO98*AP98</f>
        <v>0</v>
      </c>
      <c r="AR98" s="60">
        <f t="shared" ref="AR98:AR103" si="140">AM98+AQ98</f>
        <v>92.961550989083236</v>
      </c>
      <c r="AS98" s="60" t="s">
        <v>266</v>
      </c>
      <c r="AT98" s="60">
        <v>456</v>
      </c>
      <c r="AU98" s="60">
        <v>0.72</v>
      </c>
      <c r="AV98" s="60">
        <f t="shared" si="127"/>
        <v>9.6684404111999989</v>
      </c>
      <c r="AW98" s="60">
        <v>33000</v>
      </c>
      <c r="AX98" s="60">
        <v>23</v>
      </c>
      <c r="AY98" s="60" t="s">
        <v>228</v>
      </c>
      <c r="AZ98" s="60">
        <v>5757.63</v>
      </c>
      <c r="BA98" s="80">
        <v>4</v>
      </c>
      <c r="BB98" s="60">
        <f t="shared" si="126"/>
        <v>16.051574545454546</v>
      </c>
      <c r="BC98" s="60">
        <v>37.44</v>
      </c>
      <c r="BD98" s="60">
        <v>34.82</v>
      </c>
      <c r="BE98" s="60">
        <v>3.14</v>
      </c>
      <c r="BF98" s="60">
        <v>6.5</v>
      </c>
      <c r="BG98" s="60"/>
      <c r="BH98" s="80">
        <f t="shared" ref="BH98:BH103" si="141">AB98+AC98+AD98+AR98+AV98+BB98+BC98+BD98+BE98+BF98</f>
        <v>575.84654170715908</v>
      </c>
      <c r="BI98" s="60">
        <f t="shared" si="87"/>
        <v>52.668768527918786</v>
      </c>
      <c r="BJ98" s="80">
        <f t="shared" ref="BJ98:BJ103" si="142">BH98+AE98+BI98</f>
        <v>651.3472213919307</v>
      </c>
      <c r="BK98" s="102"/>
      <c r="BL98" s="43"/>
      <c r="BM98" s="43"/>
      <c r="BN98" s="33"/>
      <c r="BR98" s="127"/>
    </row>
    <row r="99" spans="1:70" ht="94.5" x14ac:dyDescent="0.25">
      <c r="A99" s="92">
        <v>85</v>
      </c>
      <c r="B99" s="78" t="s">
        <v>235</v>
      </c>
      <c r="C99" s="156" t="s">
        <v>205</v>
      </c>
      <c r="D99" s="156" t="s">
        <v>311</v>
      </c>
      <c r="E99" s="156">
        <v>4</v>
      </c>
      <c r="F99" s="156">
        <v>82.75</v>
      </c>
      <c r="G99" s="156">
        <v>0</v>
      </c>
      <c r="H99" s="101">
        <f t="shared" si="128"/>
        <v>0</v>
      </c>
      <c r="I99" s="156"/>
      <c r="J99" s="156">
        <f t="shared" si="129"/>
        <v>0</v>
      </c>
      <c r="K99" s="156"/>
      <c r="L99" s="156">
        <f t="shared" si="130"/>
        <v>0</v>
      </c>
      <c r="M99" s="156"/>
      <c r="N99" s="156">
        <v>25</v>
      </c>
      <c r="O99" s="156">
        <f t="shared" si="131"/>
        <v>20.6875</v>
      </c>
      <c r="P99" s="156"/>
      <c r="Q99" s="156"/>
      <c r="R99" s="156">
        <v>40</v>
      </c>
      <c r="S99" s="156">
        <f t="shared" si="132"/>
        <v>41.375</v>
      </c>
      <c r="T99" s="156">
        <v>30</v>
      </c>
      <c r="U99" s="156">
        <f t="shared" si="133"/>
        <v>43.443750000000001</v>
      </c>
      <c r="V99" s="156">
        <v>30</v>
      </c>
      <c r="W99" s="156">
        <f t="shared" si="134"/>
        <v>43.443750000000001</v>
      </c>
      <c r="X99" s="60">
        <f t="shared" si="135"/>
        <v>231.7</v>
      </c>
      <c r="Y99" s="60">
        <f t="shared" si="86"/>
        <v>1.5228426395939085</v>
      </c>
      <c r="Z99" s="60">
        <f t="shared" si="136"/>
        <v>13.901999999999999</v>
      </c>
      <c r="AA99" s="60">
        <f t="shared" si="137"/>
        <v>16.219000000000001</v>
      </c>
      <c r="AB99" s="60">
        <f t="shared" si="138"/>
        <v>263.3438426395939</v>
      </c>
      <c r="AC99" s="60">
        <f t="shared" si="104"/>
        <v>79.52984047715735</v>
      </c>
      <c r="AD99" s="60">
        <f t="shared" si="105"/>
        <v>32.391292644670052</v>
      </c>
      <c r="AE99" s="60">
        <f t="shared" si="106"/>
        <v>22.831911156852794</v>
      </c>
      <c r="AF99" s="60" t="s">
        <v>87</v>
      </c>
      <c r="AG99" s="159">
        <v>31.567796999999999</v>
      </c>
      <c r="AH99" s="60">
        <v>8.1</v>
      </c>
      <c r="AI99" s="60">
        <v>10.286999999999999</v>
      </c>
      <c r="AJ99" s="60">
        <v>10.449</v>
      </c>
      <c r="AK99" s="60">
        <v>11.177999999999997</v>
      </c>
      <c r="AL99" s="60">
        <f t="shared" si="100"/>
        <v>10.550249999999998</v>
      </c>
      <c r="AM99" s="60">
        <f t="shared" si="78"/>
        <v>76.601074568827485</v>
      </c>
      <c r="AN99" s="60"/>
      <c r="AO99" s="60"/>
      <c r="AP99" s="60"/>
      <c r="AQ99" s="60">
        <f t="shared" si="139"/>
        <v>0</v>
      </c>
      <c r="AR99" s="60">
        <f t="shared" si="140"/>
        <v>76.601074568827485</v>
      </c>
      <c r="AS99" s="60" t="s">
        <v>266</v>
      </c>
      <c r="AT99" s="60">
        <v>456</v>
      </c>
      <c r="AU99" s="60">
        <v>0.72</v>
      </c>
      <c r="AV99" s="60">
        <f t="shared" si="127"/>
        <v>7.9668735839999982</v>
      </c>
      <c r="AW99" s="60">
        <v>33000</v>
      </c>
      <c r="AX99" s="60">
        <v>23</v>
      </c>
      <c r="AY99" s="60" t="s">
        <v>228</v>
      </c>
      <c r="AZ99" s="60">
        <v>5757.63</v>
      </c>
      <c r="BA99" s="80">
        <v>4</v>
      </c>
      <c r="BB99" s="60">
        <f t="shared" si="126"/>
        <v>16.051574545454546</v>
      </c>
      <c r="BC99" s="60">
        <v>37.44</v>
      </c>
      <c r="BD99" s="60">
        <v>34.82</v>
      </c>
      <c r="BE99" s="60">
        <v>0</v>
      </c>
      <c r="BF99" s="60">
        <v>6.5</v>
      </c>
      <c r="BG99" s="60"/>
      <c r="BH99" s="80">
        <f t="shared" si="141"/>
        <v>554.64449845970341</v>
      </c>
      <c r="BI99" s="60">
        <f t="shared" si="87"/>
        <v>52.668768527918786</v>
      </c>
      <c r="BJ99" s="80">
        <f t="shared" si="142"/>
        <v>630.14517814447504</v>
      </c>
      <c r="BK99" s="102"/>
      <c r="BL99" s="43"/>
      <c r="BM99" s="43"/>
      <c r="BN99" s="33"/>
      <c r="BR99" s="127"/>
    </row>
    <row r="100" spans="1:70" ht="94.5" x14ac:dyDescent="0.25">
      <c r="A100" s="92">
        <v>86</v>
      </c>
      <c r="B100" s="78" t="s">
        <v>235</v>
      </c>
      <c r="C100" s="156" t="s">
        <v>206</v>
      </c>
      <c r="D100" s="156" t="s">
        <v>311</v>
      </c>
      <c r="E100" s="156">
        <v>4</v>
      </c>
      <c r="F100" s="156">
        <v>82.75</v>
      </c>
      <c r="G100" s="156">
        <v>0</v>
      </c>
      <c r="H100" s="101">
        <f t="shared" si="128"/>
        <v>0</v>
      </c>
      <c r="I100" s="156"/>
      <c r="J100" s="156">
        <f t="shared" si="129"/>
        <v>0</v>
      </c>
      <c r="K100" s="156"/>
      <c r="L100" s="156">
        <f t="shared" si="130"/>
        <v>0</v>
      </c>
      <c r="M100" s="156"/>
      <c r="N100" s="156">
        <v>25</v>
      </c>
      <c r="O100" s="156">
        <f t="shared" si="131"/>
        <v>20.6875</v>
      </c>
      <c r="P100" s="156"/>
      <c r="Q100" s="156"/>
      <c r="R100" s="156">
        <v>40</v>
      </c>
      <c r="S100" s="156">
        <f t="shared" si="132"/>
        <v>41.375</v>
      </c>
      <c r="T100" s="156">
        <v>30</v>
      </c>
      <c r="U100" s="156">
        <f t="shared" si="133"/>
        <v>43.443750000000001</v>
      </c>
      <c r="V100" s="156">
        <v>30</v>
      </c>
      <c r="W100" s="156">
        <f t="shared" si="134"/>
        <v>43.443750000000001</v>
      </c>
      <c r="X100" s="60">
        <f t="shared" si="135"/>
        <v>231.7</v>
      </c>
      <c r="Y100" s="60">
        <f t="shared" si="86"/>
        <v>1.5228426395939085</v>
      </c>
      <c r="Z100" s="60">
        <f t="shared" si="136"/>
        <v>13.901999999999999</v>
      </c>
      <c r="AA100" s="60">
        <f t="shared" si="137"/>
        <v>16.219000000000001</v>
      </c>
      <c r="AB100" s="60">
        <f t="shared" si="138"/>
        <v>263.3438426395939</v>
      </c>
      <c r="AC100" s="60">
        <f t="shared" si="104"/>
        <v>79.52984047715735</v>
      </c>
      <c r="AD100" s="60">
        <f t="shared" si="105"/>
        <v>32.391292644670052</v>
      </c>
      <c r="AE100" s="60">
        <f t="shared" si="106"/>
        <v>22.831911156852794</v>
      </c>
      <c r="AF100" s="60" t="s">
        <v>87</v>
      </c>
      <c r="AG100" s="159">
        <v>31.567796999999999</v>
      </c>
      <c r="AH100" s="60">
        <v>8.1</v>
      </c>
      <c r="AI100" s="60">
        <v>10.286999999999999</v>
      </c>
      <c r="AJ100" s="60">
        <v>10.449</v>
      </c>
      <c r="AK100" s="60">
        <v>11.177999999999997</v>
      </c>
      <c r="AL100" s="60">
        <f t="shared" si="100"/>
        <v>10.550249999999998</v>
      </c>
      <c r="AM100" s="60">
        <f t="shared" si="78"/>
        <v>76.601074568827485</v>
      </c>
      <c r="AN100" s="60"/>
      <c r="AO100" s="60"/>
      <c r="AP100" s="60"/>
      <c r="AQ100" s="60">
        <f t="shared" si="139"/>
        <v>0</v>
      </c>
      <c r="AR100" s="60">
        <f t="shared" si="140"/>
        <v>76.601074568827485</v>
      </c>
      <c r="AS100" s="60" t="s">
        <v>266</v>
      </c>
      <c r="AT100" s="60">
        <v>456</v>
      </c>
      <c r="AU100" s="60">
        <v>0.72</v>
      </c>
      <c r="AV100" s="60">
        <f t="shared" si="127"/>
        <v>7.9668735839999982</v>
      </c>
      <c r="AW100" s="60">
        <v>33000</v>
      </c>
      <c r="AX100" s="60">
        <v>23</v>
      </c>
      <c r="AY100" s="60" t="s">
        <v>228</v>
      </c>
      <c r="AZ100" s="60">
        <v>5757.63</v>
      </c>
      <c r="BA100" s="80">
        <v>4</v>
      </c>
      <c r="BB100" s="60">
        <f t="shared" si="126"/>
        <v>16.051574545454546</v>
      </c>
      <c r="BC100" s="60">
        <v>37.44</v>
      </c>
      <c r="BD100" s="60">
        <v>34.82</v>
      </c>
      <c r="BE100" s="60">
        <v>2.58</v>
      </c>
      <c r="BF100" s="60">
        <v>6.5</v>
      </c>
      <c r="BG100" s="60"/>
      <c r="BH100" s="80">
        <f t="shared" si="141"/>
        <v>557.22449845970345</v>
      </c>
      <c r="BI100" s="60">
        <f t="shared" si="87"/>
        <v>52.668768527918786</v>
      </c>
      <c r="BJ100" s="80">
        <f t="shared" si="142"/>
        <v>632.72517814447508</v>
      </c>
      <c r="BK100" s="102"/>
      <c r="BL100" s="43"/>
      <c r="BM100" s="43"/>
      <c r="BN100" s="33"/>
      <c r="BR100" s="127"/>
    </row>
    <row r="101" spans="1:70" ht="94.5" x14ac:dyDescent="0.25">
      <c r="A101" s="92">
        <v>87</v>
      </c>
      <c r="B101" s="78" t="s">
        <v>235</v>
      </c>
      <c r="C101" s="156" t="s">
        <v>274</v>
      </c>
      <c r="D101" s="156" t="s">
        <v>311</v>
      </c>
      <c r="E101" s="156">
        <v>1</v>
      </c>
      <c r="F101" s="156">
        <v>82.75</v>
      </c>
      <c r="G101" s="156">
        <v>0</v>
      </c>
      <c r="H101" s="101">
        <f t="shared" si="128"/>
        <v>0</v>
      </c>
      <c r="I101" s="156"/>
      <c r="J101" s="156">
        <f t="shared" si="129"/>
        <v>0</v>
      </c>
      <c r="K101" s="156"/>
      <c r="L101" s="156">
        <f t="shared" si="130"/>
        <v>0</v>
      </c>
      <c r="M101" s="156"/>
      <c r="N101" s="156">
        <v>25</v>
      </c>
      <c r="O101" s="156">
        <f t="shared" si="131"/>
        <v>20.6875</v>
      </c>
      <c r="P101" s="156"/>
      <c r="Q101" s="156"/>
      <c r="R101" s="156">
        <v>40</v>
      </c>
      <c r="S101" s="156">
        <f t="shared" si="132"/>
        <v>41.375</v>
      </c>
      <c r="T101" s="156">
        <v>30</v>
      </c>
      <c r="U101" s="156">
        <f t="shared" si="133"/>
        <v>43.443750000000001</v>
      </c>
      <c r="V101" s="156">
        <v>30</v>
      </c>
      <c r="W101" s="156">
        <f t="shared" si="134"/>
        <v>43.443750000000001</v>
      </c>
      <c r="X101" s="60">
        <f t="shared" si="135"/>
        <v>231.7</v>
      </c>
      <c r="Y101" s="60">
        <f t="shared" si="86"/>
        <v>1.5228426395939085</v>
      </c>
      <c r="Z101" s="60">
        <f t="shared" si="136"/>
        <v>13.901999999999999</v>
      </c>
      <c r="AA101" s="60">
        <f t="shared" si="137"/>
        <v>16.219000000000001</v>
      </c>
      <c r="AB101" s="60">
        <f t="shared" si="138"/>
        <v>263.3438426395939</v>
      </c>
      <c r="AC101" s="60">
        <f t="shared" si="104"/>
        <v>79.52984047715735</v>
      </c>
      <c r="AD101" s="60">
        <f t="shared" si="105"/>
        <v>32.391292644670052</v>
      </c>
      <c r="AE101" s="60">
        <f t="shared" si="106"/>
        <v>22.831911156852794</v>
      </c>
      <c r="AF101" s="60" t="s">
        <v>87</v>
      </c>
      <c r="AG101" s="159">
        <v>31.567796999999999</v>
      </c>
      <c r="AH101" s="60">
        <v>8.1</v>
      </c>
      <c r="AI101" s="60">
        <v>10.286999999999999</v>
      </c>
      <c r="AJ101" s="60">
        <v>10.449</v>
      </c>
      <c r="AK101" s="60">
        <v>11.177999999999997</v>
      </c>
      <c r="AL101" s="60">
        <f t="shared" si="100"/>
        <v>10.550249999999998</v>
      </c>
      <c r="AM101" s="60">
        <f t="shared" si="78"/>
        <v>76.601074568827485</v>
      </c>
      <c r="AN101" s="60"/>
      <c r="AO101" s="60"/>
      <c r="AP101" s="60"/>
      <c r="AQ101" s="60">
        <f t="shared" si="139"/>
        <v>0</v>
      </c>
      <c r="AR101" s="60">
        <f t="shared" si="140"/>
        <v>76.601074568827485</v>
      </c>
      <c r="AS101" s="60" t="s">
        <v>266</v>
      </c>
      <c r="AT101" s="60">
        <v>456</v>
      </c>
      <c r="AU101" s="60">
        <v>0.72</v>
      </c>
      <c r="AV101" s="60">
        <f t="shared" si="127"/>
        <v>7.9668735839999982</v>
      </c>
      <c r="AW101" s="60">
        <v>33000</v>
      </c>
      <c r="AX101" s="60">
        <v>23</v>
      </c>
      <c r="AY101" s="60" t="s">
        <v>228</v>
      </c>
      <c r="AZ101" s="60">
        <v>5757.63</v>
      </c>
      <c r="BA101" s="80">
        <v>4</v>
      </c>
      <c r="BB101" s="60">
        <f t="shared" si="126"/>
        <v>16.051574545454546</v>
      </c>
      <c r="BC101" s="60">
        <v>37.44</v>
      </c>
      <c r="BD101" s="60">
        <v>34.82</v>
      </c>
      <c r="BE101" s="60">
        <v>0</v>
      </c>
      <c r="BF101" s="60">
        <v>6.5</v>
      </c>
      <c r="BG101" s="60"/>
      <c r="BH101" s="80">
        <f t="shared" si="141"/>
        <v>554.64449845970341</v>
      </c>
      <c r="BI101" s="60">
        <f t="shared" si="87"/>
        <v>52.668768527918786</v>
      </c>
      <c r="BJ101" s="80">
        <f t="shared" si="142"/>
        <v>630.14517814447504</v>
      </c>
      <c r="BK101" s="102"/>
      <c r="BL101" s="43"/>
      <c r="BM101" s="43"/>
      <c r="BN101" s="33"/>
      <c r="BR101" s="127"/>
    </row>
    <row r="102" spans="1:70" ht="94.5" x14ac:dyDescent="0.25">
      <c r="A102" s="92">
        <v>88</v>
      </c>
      <c r="B102" s="78" t="s">
        <v>301</v>
      </c>
      <c r="C102" s="156" t="s">
        <v>305</v>
      </c>
      <c r="D102" s="156" t="s">
        <v>311</v>
      </c>
      <c r="E102" s="156">
        <v>4</v>
      </c>
      <c r="F102" s="60">
        <v>63.25</v>
      </c>
      <c r="G102" s="156">
        <v>0</v>
      </c>
      <c r="H102" s="101">
        <f t="shared" si="128"/>
        <v>0</v>
      </c>
      <c r="I102" s="156"/>
      <c r="J102" s="156">
        <f t="shared" si="129"/>
        <v>0</v>
      </c>
      <c r="K102" s="156"/>
      <c r="L102" s="156">
        <f t="shared" si="130"/>
        <v>0</v>
      </c>
      <c r="M102" s="156"/>
      <c r="N102" s="156">
        <v>25</v>
      </c>
      <c r="O102" s="156">
        <f t="shared" si="131"/>
        <v>15.8125</v>
      </c>
      <c r="P102" s="156"/>
      <c r="Q102" s="156"/>
      <c r="R102" s="156">
        <v>40</v>
      </c>
      <c r="S102" s="156">
        <f t="shared" si="132"/>
        <v>31.625</v>
      </c>
      <c r="T102" s="156">
        <v>30</v>
      </c>
      <c r="U102" s="156">
        <f t="shared" si="133"/>
        <v>33.206249999999997</v>
      </c>
      <c r="V102" s="156">
        <v>30</v>
      </c>
      <c r="W102" s="156">
        <f t="shared" si="134"/>
        <v>33.206249999999997</v>
      </c>
      <c r="X102" s="60">
        <f t="shared" si="135"/>
        <v>177.10000000000002</v>
      </c>
      <c r="Y102" s="60">
        <f>3000/1970</f>
        <v>1.5228426395939085</v>
      </c>
      <c r="Z102" s="60">
        <f t="shared" si="136"/>
        <v>10.626000000000001</v>
      </c>
      <c r="AA102" s="60">
        <f t="shared" si="137"/>
        <v>12.397000000000002</v>
      </c>
      <c r="AB102" s="60">
        <f t="shared" si="138"/>
        <v>201.64584263959392</v>
      </c>
      <c r="AC102" s="60">
        <f t="shared" si="104"/>
        <v>60.897044477157365</v>
      </c>
      <c r="AD102" s="60">
        <f t="shared" si="105"/>
        <v>24.802438644670051</v>
      </c>
      <c r="AE102" s="60">
        <f t="shared" si="106"/>
        <v>17.482694556852792</v>
      </c>
      <c r="AF102" s="60" t="s">
        <v>83</v>
      </c>
      <c r="AG102" s="159">
        <v>30.677966000000001</v>
      </c>
      <c r="AH102" s="60">
        <v>12.3</v>
      </c>
      <c r="AI102" s="60">
        <v>16.851000000000003</v>
      </c>
      <c r="AJ102" s="60">
        <v>17.097000000000001</v>
      </c>
      <c r="AK102" s="60">
        <v>18.204000000000001</v>
      </c>
      <c r="AL102" s="60">
        <f t="shared" si="100"/>
        <v>17.25075</v>
      </c>
      <c r="AM102" s="60">
        <f t="shared" si="78"/>
        <v>121.720122054135</v>
      </c>
      <c r="AN102" s="60"/>
      <c r="AO102" s="60"/>
      <c r="AP102" s="60"/>
      <c r="AQ102" s="60">
        <f t="shared" si="139"/>
        <v>0</v>
      </c>
      <c r="AR102" s="60">
        <f t="shared" si="140"/>
        <v>121.720122054135</v>
      </c>
      <c r="AS102" s="60" t="s">
        <v>266</v>
      </c>
      <c r="AT102" s="60">
        <v>456</v>
      </c>
      <c r="AU102" s="60">
        <v>0.6</v>
      </c>
      <c r="AV102" s="60">
        <f>AU102/100*AL102*0.23*AT102</f>
        <v>10.85555196</v>
      </c>
      <c r="AW102" s="60">
        <v>50000</v>
      </c>
      <c r="AX102" s="60">
        <v>23</v>
      </c>
      <c r="AY102" s="60" t="s">
        <v>190</v>
      </c>
      <c r="AZ102" s="60">
        <v>4943.22</v>
      </c>
      <c r="BA102" s="80">
        <v>4</v>
      </c>
      <c r="BB102" s="60">
        <f t="shared" si="126"/>
        <v>9.0955247999999997</v>
      </c>
      <c r="BC102" s="60">
        <v>37.44</v>
      </c>
      <c r="BD102" s="60">
        <v>34.82</v>
      </c>
      <c r="BE102" s="60">
        <v>0</v>
      </c>
      <c r="BF102" s="60">
        <v>6.5</v>
      </c>
      <c r="BG102" s="60"/>
      <c r="BH102" s="80">
        <f t="shared" si="141"/>
        <v>507.77652457555638</v>
      </c>
      <c r="BI102" s="60">
        <f t="shared" si="87"/>
        <v>40.329168527918789</v>
      </c>
      <c r="BJ102" s="80">
        <f t="shared" si="142"/>
        <v>565.58838766032795</v>
      </c>
      <c r="BK102" s="102">
        <f>BH102-AD102</f>
        <v>482.9740859308863</v>
      </c>
      <c r="BL102" s="43"/>
      <c r="BM102" s="43"/>
      <c r="BN102" s="33"/>
      <c r="BR102" s="127"/>
    </row>
    <row r="103" spans="1:70" ht="94.5" x14ac:dyDescent="0.25">
      <c r="A103" s="92">
        <v>89</v>
      </c>
      <c r="B103" s="156" t="s">
        <v>302</v>
      </c>
      <c r="C103" s="156" t="s">
        <v>304</v>
      </c>
      <c r="D103" s="156" t="s">
        <v>311</v>
      </c>
      <c r="E103" s="156">
        <v>5</v>
      </c>
      <c r="F103" s="156">
        <v>82.75</v>
      </c>
      <c r="G103" s="156">
        <v>0</v>
      </c>
      <c r="H103" s="101">
        <f t="shared" si="128"/>
        <v>0</v>
      </c>
      <c r="I103" s="156"/>
      <c r="J103" s="156">
        <f t="shared" si="129"/>
        <v>0</v>
      </c>
      <c r="K103" s="156"/>
      <c r="L103" s="156">
        <f t="shared" si="130"/>
        <v>0</v>
      </c>
      <c r="M103" s="156"/>
      <c r="N103" s="156">
        <v>25</v>
      </c>
      <c r="O103" s="156">
        <f t="shared" si="131"/>
        <v>20.6875</v>
      </c>
      <c r="P103" s="156"/>
      <c r="Q103" s="156"/>
      <c r="R103" s="156">
        <v>40</v>
      </c>
      <c r="S103" s="156">
        <f t="shared" si="132"/>
        <v>41.375</v>
      </c>
      <c r="T103" s="156">
        <v>30</v>
      </c>
      <c r="U103" s="156">
        <f t="shared" si="133"/>
        <v>43.443750000000001</v>
      </c>
      <c r="V103" s="156">
        <v>30</v>
      </c>
      <c r="W103" s="156">
        <f t="shared" si="134"/>
        <v>43.443750000000001</v>
      </c>
      <c r="X103" s="60">
        <f t="shared" si="135"/>
        <v>231.7</v>
      </c>
      <c r="Y103" s="60">
        <f>3000/1970</f>
        <v>1.5228426395939085</v>
      </c>
      <c r="Z103" s="60">
        <f t="shared" si="136"/>
        <v>13.901999999999999</v>
      </c>
      <c r="AA103" s="60">
        <f t="shared" si="137"/>
        <v>16.219000000000001</v>
      </c>
      <c r="AB103" s="60">
        <f t="shared" si="138"/>
        <v>263.3438426395939</v>
      </c>
      <c r="AC103" s="60">
        <f t="shared" si="104"/>
        <v>79.52984047715735</v>
      </c>
      <c r="AD103" s="60">
        <f t="shared" si="105"/>
        <v>32.391292644670052</v>
      </c>
      <c r="AE103" s="60">
        <f t="shared" si="106"/>
        <v>22.831911156852794</v>
      </c>
      <c r="AF103" s="60" t="s">
        <v>83</v>
      </c>
      <c r="AG103" s="159">
        <v>30.677966000000001</v>
      </c>
      <c r="AH103" s="60">
        <v>9.5</v>
      </c>
      <c r="AI103" s="60">
        <v>12.065000000000001</v>
      </c>
      <c r="AJ103" s="60">
        <v>12.254999999999999</v>
      </c>
      <c r="AK103" s="60">
        <v>13.11</v>
      </c>
      <c r="AL103" s="60">
        <f t="shared" si="100"/>
        <v>12.373750000000001</v>
      </c>
      <c r="AM103" s="60">
        <f t="shared" si="78"/>
        <v>87.30834081227502</v>
      </c>
      <c r="AN103" s="60"/>
      <c r="AO103" s="60"/>
      <c r="AP103" s="60"/>
      <c r="AQ103" s="60">
        <f t="shared" si="139"/>
        <v>0</v>
      </c>
      <c r="AR103" s="60">
        <f t="shared" si="140"/>
        <v>87.30834081227502</v>
      </c>
      <c r="AS103" s="60" t="s">
        <v>266</v>
      </c>
      <c r="AT103" s="60">
        <v>456</v>
      </c>
      <c r="AU103" s="60">
        <v>0.6</v>
      </c>
      <c r="AV103" s="60">
        <f>AL103*AU103/100*AT103</f>
        <v>33.854579999999999</v>
      </c>
      <c r="AW103" s="60">
        <v>50000</v>
      </c>
      <c r="AX103" s="60">
        <v>23</v>
      </c>
      <c r="AY103" s="60" t="s">
        <v>303</v>
      </c>
      <c r="AZ103" s="60">
        <v>3231</v>
      </c>
      <c r="BA103" s="80">
        <v>4</v>
      </c>
      <c r="BB103" s="60">
        <f t="shared" si="126"/>
        <v>5.9450399999999997</v>
      </c>
      <c r="BC103" s="60">
        <v>37.44</v>
      </c>
      <c r="BD103" s="60">
        <v>34.82</v>
      </c>
      <c r="BE103" s="60">
        <v>0</v>
      </c>
      <c r="BF103" s="60">
        <v>6.5</v>
      </c>
      <c r="BG103" s="60"/>
      <c r="BH103" s="80">
        <f t="shared" si="141"/>
        <v>581.13293657369638</v>
      </c>
      <c r="BI103" s="60">
        <f t="shared" si="87"/>
        <v>52.668768527918786</v>
      </c>
      <c r="BJ103" s="80">
        <f t="shared" si="142"/>
        <v>656.63361625846801</v>
      </c>
      <c r="BK103" s="102"/>
      <c r="BL103" s="43"/>
      <c r="BM103" s="43"/>
      <c r="BN103" s="33"/>
      <c r="BR103" s="127"/>
    </row>
    <row r="104" spans="1:70" ht="110.25" x14ac:dyDescent="0.25">
      <c r="A104" s="92">
        <v>90</v>
      </c>
      <c r="B104" s="78" t="s">
        <v>376</v>
      </c>
      <c r="C104" s="156" t="s">
        <v>377</v>
      </c>
      <c r="D104" s="156" t="s">
        <v>311</v>
      </c>
      <c r="E104" s="156">
        <v>4</v>
      </c>
      <c r="F104" s="156">
        <v>63.25</v>
      </c>
      <c r="G104" s="156">
        <v>0</v>
      </c>
      <c r="H104" s="101">
        <f>F104*G104/100</f>
        <v>0</v>
      </c>
      <c r="I104" s="156"/>
      <c r="J104" s="156">
        <f>F104*I104/100</f>
        <v>0</v>
      </c>
      <c r="K104" s="156"/>
      <c r="L104" s="156">
        <f>F104*K104/100</f>
        <v>0</v>
      </c>
      <c r="M104" s="156"/>
      <c r="N104" s="156">
        <v>25</v>
      </c>
      <c r="O104" s="156">
        <f>F104*N104/100</f>
        <v>15.8125</v>
      </c>
      <c r="P104" s="156"/>
      <c r="Q104" s="156"/>
      <c r="R104" s="156">
        <v>40</v>
      </c>
      <c r="S104" s="156">
        <f t="shared" ref="S104:S134" si="143">(F104+H104+J104+L104+M104+O104+Q104)*R104/100</f>
        <v>31.625</v>
      </c>
      <c r="T104" s="156">
        <v>30</v>
      </c>
      <c r="U104" s="156">
        <f t="shared" ref="U104:U134" si="144">(F104+H104+J104+L104+M104+O104+Q104+S104)*30/100</f>
        <v>33.206249999999997</v>
      </c>
      <c r="V104" s="156">
        <v>30</v>
      </c>
      <c r="W104" s="156">
        <f t="shared" ref="W104:W134" si="145">U104</f>
        <v>33.206249999999997</v>
      </c>
      <c r="X104" s="60">
        <f t="shared" ref="X104:X134" si="146">F104+H104+J104+L104+M104+O104+Q104+S104+U104+W104</f>
        <v>177.10000000000002</v>
      </c>
      <c r="Y104" s="60">
        <f t="shared" ref="Y104:Y128" si="147">3000/1970</f>
        <v>1.5228426395939085</v>
      </c>
      <c r="Z104" s="60">
        <f t="shared" ref="Z104:Z115" si="148">X104*0.06</f>
        <v>10.626000000000001</v>
      </c>
      <c r="AA104" s="60">
        <f t="shared" ref="AA104:AA134" si="149">X104*0.07</f>
        <v>12.397000000000002</v>
      </c>
      <c r="AB104" s="60">
        <f t="shared" ref="AB104:AB134" si="150">X104+Y104+Z104+AA104</f>
        <v>201.64584263959392</v>
      </c>
      <c r="AC104" s="60">
        <f t="shared" si="104"/>
        <v>60.897044477157365</v>
      </c>
      <c r="AD104" s="60">
        <f t="shared" si="105"/>
        <v>24.802438644670051</v>
      </c>
      <c r="AE104" s="60">
        <f t="shared" si="106"/>
        <v>17.482694556852792</v>
      </c>
      <c r="AF104" s="60" t="s">
        <v>83</v>
      </c>
      <c r="AG104" s="159">
        <v>30.677966000000001</v>
      </c>
      <c r="AH104" s="121">
        <v>12.2</v>
      </c>
      <c r="AI104" s="60">
        <v>16.713999999999999</v>
      </c>
      <c r="AJ104" s="60">
        <v>16.957999999999998</v>
      </c>
      <c r="AK104" s="60">
        <v>18.055999999999997</v>
      </c>
      <c r="AL104" s="60">
        <f t="shared" si="100"/>
        <v>17.110499999999998</v>
      </c>
      <c r="AM104" s="60">
        <f t="shared" si="78"/>
        <v>120.73052756588999</v>
      </c>
      <c r="AN104" s="60"/>
      <c r="AO104" s="60"/>
      <c r="AP104" s="60"/>
      <c r="AQ104" s="60">
        <f>AG104*AO104*AP104</f>
        <v>0</v>
      </c>
      <c r="AR104" s="60">
        <f>AM104+AQ104</f>
        <v>120.73052756588999</v>
      </c>
      <c r="AS104" s="60" t="s">
        <v>320</v>
      </c>
      <c r="AT104" s="60">
        <v>201.7</v>
      </c>
      <c r="AU104" s="60">
        <v>0.6</v>
      </c>
      <c r="AV104" s="60">
        <f>AL104/100*23*AU104/100*AT104</f>
        <v>4.7626392329999989</v>
      </c>
      <c r="AW104" s="60">
        <v>50000</v>
      </c>
      <c r="AX104" s="60">
        <v>23</v>
      </c>
      <c r="AY104" s="60" t="s">
        <v>378</v>
      </c>
      <c r="AZ104" s="60">
        <v>3825</v>
      </c>
      <c r="BA104" s="80">
        <v>4</v>
      </c>
      <c r="BB104" s="60">
        <f>AX104/AW104*(3825*4)</f>
        <v>7.0380000000000003</v>
      </c>
      <c r="BC104" s="60">
        <v>37.44</v>
      </c>
      <c r="BD104" s="60">
        <v>34.82</v>
      </c>
      <c r="BE104" s="60">
        <v>78.67</v>
      </c>
      <c r="BF104" s="60">
        <v>6.5</v>
      </c>
      <c r="BG104" s="60"/>
      <c r="BH104" s="80">
        <f>AB104+AC104+AD104+AR104+AV104+BB104+BC104+BD104+BE104+BF104</f>
        <v>577.30649256031131</v>
      </c>
      <c r="BI104" s="60">
        <f t="shared" si="87"/>
        <v>40.329168527918789</v>
      </c>
      <c r="BJ104" s="80">
        <f>BH104+AE104+BI104</f>
        <v>635.11835564508294</v>
      </c>
      <c r="BK104" s="102">
        <f>BH104-AD104</f>
        <v>552.50405391564129</v>
      </c>
      <c r="BL104" s="43"/>
      <c r="BM104" s="43"/>
      <c r="BN104" s="33"/>
      <c r="BR104" s="127"/>
    </row>
    <row r="105" spans="1:70" ht="94.5" x14ac:dyDescent="0.25">
      <c r="A105" s="58" t="s">
        <v>165</v>
      </c>
      <c r="B105" s="78" t="s">
        <v>380</v>
      </c>
      <c r="C105" s="156" t="s">
        <v>381</v>
      </c>
      <c r="D105" s="156" t="s">
        <v>311</v>
      </c>
      <c r="E105" s="156">
        <v>4</v>
      </c>
      <c r="F105" s="60">
        <v>63.25</v>
      </c>
      <c r="G105" s="156">
        <v>0</v>
      </c>
      <c r="H105" s="101">
        <f>F105*G105/100</f>
        <v>0</v>
      </c>
      <c r="I105" s="156"/>
      <c r="J105" s="156">
        <f>F105*I105/100</f>
        <v>0</v>
      </c>
      <c r="K105" s="156"/>
      <c r="L105" s="156">
        <f>F105*K105/100</f>
        <v>0</v>
      </c>
      <c r="M105" s="156"/>
      <c r="N105" s="156">
        <v>25</v>
      </c>
      <c r="O105" s="156">
        <f>F105*N105/100</f>
        <v>15.8125</v>
      </c>
      <c r="P105" s="156"/>
      <c r="Q105" s="156"/>
      <c r="R105" s="156">
        <v>40</v>
      </c>
      <c r="S105" s="156">
        <f t="shared" si="143"/>
        <v>31.625</v>
      </c>
      <c r="T105" s="156">
        <v>30</v>
      </c>
      <c r="U105" s="156">
        <f t="shared" si="144"/>
        <v>33.206249999999997</v>
      </c>
      <c r="V105" s="156">
        <v>30</v>
      </c>
      <c r="W105" s="156">
        <f t="shared" si="145"/>
        <v>33.206249999999997</v>
      </c>
      <c r="X105" s="60">
        <f t="shared" si="146"/>
        <v>177.10000000000002</v>
      </c>
      <c r="Y105" s="60">
        <f t="shared" si="147"/>
        <v>1.5228426395939085</v>
      </c>
      <c r="Z105" s="60">
        <f t="shared" si="148"/>
        <v>10.626000000000001</v>
      </c>
      <c r="AA105" s="60">
        <f t="shared" si="149"/>
        <v>12.397000000000002</v>
      </c>
      <c r="AB105" s="60">
        <f t="shared" si="150"/>
        <v>201.64584263959392</v>
      </c>
      <c r="AC105" s="60">
        <f t="shared" si="104"/>
        <v>60.897044477157365</v>
      </c>
      <c r="AD105" s="60">
        <f t="shared" si="105"/>
        <v>24.802438644670051</v>
      </c>
      <c r="AE105" s="60">
        <f>AB105*1.734*0.05</f>
        <v>17.482694556852792</v>
      </c>
      <c r="AF105" s="60" t="s">
        <v>83</v>
      </c>
      <c r="AG105" s="159">
        <v>30.677966000000001</v>
      </c>
      <c r="AH105" s="121">
        <v>10.5</v>
      </c>
      <c r="AI105" s="60">
        <v>14.385</v>
      </c>
      <c r="AJ105" s="60">
        <v>14.595000000000001</v>
      </c>
      <c r="AK105" s="60">
        <v>15.54</v>
      </c>
      <c r="AL105" s="60">
        <f t="shared" si="100"/>
        <v>14.72625</v>
      </c>
      <c r="AM105" s="60">
        <f t="shared" si="78"/>
        <v>103.90742126572501</v>
      </c>
      <c r="AN105" s="60"/>
      <c r="AO105" s="60"/>
      <c r="AP105" s="60"/>
      <c r="AQ105" s="60">
        <f>AG105*AO105*AP105</f>
        <v>0</v>
      </c>
      <c r="AR105" s="60">
        <f>AM105+AQ105</f>
        <v>103.90742126572501</v>
      </c>
      <c r="AS105" s="60" t="s">
        <v>266</v>
      </c>
      <c r="AT105" s="60">
        <v>456</v>
      </c>
      <c r="AU105" s="60">
        <v>0.6</v>
      </c>
      <c r="AV105" s="60">
        <f>AU105/100*AL105*0.23*AT105</f>
        <v>9.2669346000000008</v>
      </c>
      <c r="AW105" s="60">
        <v>50000</v>
      </c>
      <c r="AX105" s="60">
        <v>23</v>
      </c>
      <c r="AY105" s="60" t="s">
        <v>190</v>
      </c>
      <c r="AZ105" s="60">
        <v>4943.22</v>
      </c>
      <c r="BA105" s="80">
        <v>4</v>
      </c>
      <c r="BB105" s="60">
        <f>AZ105*BA105/AW105*AX105</f>
        <v>9.0955247999999997</v>
      </c>
      <c r="BC105" s="60">
        <v>37.44</v>
      </c>
      <c r="BD105" s="60">
        <v>34.82</v>
      </c>
      <c r="BE105" s="60">
        <v>232.16</v>
      </c>
      <c r="BF105" s="60">
        <v>6.5</v>
      </c>
      <c r="BG105" s="60"/>
      <c r="BH105" s="80">
        <f>AB105+AC105+AD105+AR105+AV105+BB105+BC105+BD105+BE105+BF105+BG105+AB106+AC106+AR106+AB107+AC107</f>
        <v>1560.683907156649</v>
      </c>
      <c r="BI105" s="60">
        <f t="shared" si="87"/>
        <v>40.329168527918789</v>
      </c>
      <c r="BJ105" s="80">
        <f>BH105+AE105+BI105</f>
        <v>1618.4957702414204</v>
      </c>
      <c r="BK105" s="102">
        <f>BH105-AD105</f>
        <v>1535.8814685119789</v>
      </c>
      <c r="BL105" s="43"/>
      <c r="BM105" s="43"/>
      <c r="BN105" s="33"/>
      <c r="BR105" s="127"/>
    </row>
    <row r="106" spans="1:70" ht="126" x14ac:dyDescent="0.25">
      <c r="A106" s="58"/>
      <c r="B106" s="78"/>
      <c r="C106" s="156"/>
      <c r="D106" s="156" t="s">
        <v>382</v>
      </c>
      <c r="E106" s="156"/>
      <c r="F106" s="46">
        <v>139.66999999999999</v>
      </c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>
        <v>40</v>
      </c>
      <c r="S106" s="156">
        <f t="shared" si="143"/>
        <v>55.867999999999995</v>
      </c>
      <c r="T106" s="156">
        <v>30</v>
      </c>
      <c r="U106" s="156">
        <f t="shared" si="144"/>
        <v>58.661399999999993</v>
      </c>
      <c r="V106" s="156">
        <v>30</v>
      </c>
      <c r="W106" s="156">
        <f t="shared" si="145"/>
        <v>58.661399999999993</v>
      </c>
      <c r="X106" s="60">
        <f t="shared" si="146"/>
        <v>312.86079999999998</v>
      </c>
      <c r="Y106" s="60">
        <f t="shared" si="147"/>
        <v>1.5228426395939085</v>
      </c>
      <c r="Z106" s="60">
        <f t="shared" si="148"/>
        <v>18.771647999999999</v>
      </c>
      <c r="AA106" s="60">
        <f t="shared" si="149"/>
        <v>21.900256000000002</v>
      </c>
      <c r="AB106" s="60">
        <f t="shared" si="150"/>
        <v>355.0555466395939</v>
      </c>
      <c r="AC106" s="60">
        <f t="shared" ref="AC106:AC134" si="151">AB106*0.302</f>
        <v>107.22677508515736</v>
      </c>
      <c r="AD106" s="60"/>
      <c r="AE106" s="60"/>
      <c r="AF106" s="60" t="s">
        <v>433</v>
      </c>
      <c r="AG106" s="60">
        <v>2.78</v>
      </c>
      <c r="AH106" s="60"/>
      <c r="AI106" s="60"/>
      <c r="AJ106" s="60"/>
      <c r="AK106" s="60"/>
      <c r="AL106" s="60"/>
      <c r="AM106" s="60"/>
      <c r="AN106" s="60" t="s">
        <v>383</v>
      </c>
      <c r="AO106" s="60">
        <v>10</v>
      </c>
      <c r="AP106" s="60"/>
      <c r="AQ106" s="60"/>
      <c r="AR106" s="60">
        <f>AG106*AO106</f>
        <v>27.799999999999997</v>
      </c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>
        <v>34.82</v>
      </c>
      <c r="BE106" s="60"/>
      <c r="BF106" s="60"/>
      <c r="BG106" s="60"/>
      <c r="BH106" s="80"/>
      <c r="BI106" s="60"/>
      <c r="BJ106" s="80"/>
      <c r="BK106" s="102"/>
      <c r="BL106" s="43"/>
      <c r="BM106" s="43"/>
      <c r="BN106" s="33"/>
      <c r="BR106" s="127"/>
    </row>
    <row r="107" spans="1:70" ht="47.25" x14ac:dyDescent="0.25">
      <c r="A107" s="37"/>
      <c r="B107" s="78"/>
      <c r="C107" s="156"/>
      <c r="D107" s="156" t="s">
        <v>384</v>
      </c>
      <c r="E107" s="156"/>
      <c r="F107" s="156">
        <v>105.62</v>
      </c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>
        <v>40</v>
      </c>
      <c r="S107" s="156">
        <f t="shared" si="143"/>
        <v>42.248000000000005</v>
      </c>
      <c r="T107" s="156">
        <v>30</v>
      </c>
      <c r="U107" s="156">
        <f t="shared" si="144"/>
        <v>44.360399999999998</v>
      </c>
      <c r="V107" s="156">
        <v>30</v>
      </c>
      <c r="W107" s="156">
        <f t="shared" si="145"/>
        <v>44.360399999999998</v>
      </c>
      <c r="X107" s="60">
        <f t="shared" si="146"/>
        <v>236.58879999999999</v>
      </c>
      <c r="Y107" s="60">
        <f t="shared" si="147"/>
        <v>1.5228426395939085</v>
      </c>
      <c r="Z107" s="60">
        <f t="shared" si="148"/>
        <v>14.195327999999998</v>
      </c>
      <c r="AA107" s="60">
        <f t="shared" si="149"/>
        <v>16.561216000000002</v>
      </c>
      <c r="AB107" s="60">
        <f t="shared" si="150"/>
        <v>268.86818663959389</v>
      </c>
      <c r="AC107" s="60">
        <f t="shared" si="151"/>
        <v>81.198192365157354</v>
      </c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>
        <v>34.82</v>
      </c>
      <c r="BE107" s="60"/>
      <c r="BF107" s="60"/>
      <c r="BG107" s="60"/>
      <c r="BH107" s="80"/>
      <c r="BI107" s="60"/>
      <c r="BJ107" s="80"/>
      <c r="BK107" s="102"/>
      <c r="BL107" s="43"/>
      <c r="BM107" s="43"/>
      <c r="BN107" s="33"/>
      <c r="BR107" s="127"/>
    </row>
    <row r="108" spans="1:70" ht="94.5" x14ac:dyDescent="0.25">
      <c r="A108" s="58" t="s">
        <v>391</v>
      </c>
      <c r="B108" s="78" t="s">
        <v>385</v>
      </c>
      <c r="C108" s="156" t="s">
        <v>386</v>
      </c>
      <c r="D108" s="156" t="s">
        <v>311</v>
      </c>
      <c r="E108" s="156">
        <v>5</v>
      </c>
      <c r="F108" s="156">
        <v>79.069999999999993</v>
      </c>
      <c r="G108" s="156">
        <v>0</v>
      </c>
      <c r="H108" s="101">
        <f t="shared" ref="H108:H134" si="152">F108*G108/100</f>
        <v>0</v>
      </c>
      <c r="I108" s="156"/>
      <c r="J108" s="156">
        <f t="shared" ref="J108:J134" si="153">F108*I108/100</f>
        <v>0</v>
      </c>
      <c r="K108" s="156"/>
      <c r="L108" s="156">
        <f t="shared" ref="L108:L134" si="154">F108*K108/100</f>
        <v>0</v>
      </c>
      <c r="M108" s="156">
        <v>3.31</v>
      </c>
      <c r="N108" s="156">
        <v>25</v>
      </c>
      <c r="O108" s="156">
        <f t="shared" ref="O108:O134" si="155">F108*N108/100</f>
        <v>19.767499999999998</v>
      </c>
      <c r="P108" s="156"/>
      <c r="Q108" s="156"/>
      <c r="R108" s="156">
        <v>40</v>
      </c>
      <c r="S108" s="156">
        <f t="shared" si="143"/>
        <v>40.858999999999995</v>
      </c>
      <c r="T108" s="156">
        <v>30</v>
      </c>
      <c r="U108" s="156">
        <f t="shared" si="144"/>
        <v>42.901949999999999</v>
      </c>
      <c r="V108" s="156">
        <v>30</v>
      </c>
      <c r="W108" s="156">
        <f t="shared" si="145"/>
        <v>42.901949999999999</v>
      </c>
      <c r="X108" s="60">
        <f t="shared" si="146"/>
        <v>228.81039999999999</v>
      </c>
      <c r="Y108" s="60">
        <f t="shared" si="147"/>
        <v>1.5228426395939085</v>
      </c>
      <c r="Z108" s="60">
        <f t="shared" si="148"/>
        <v>13.728623999999998</v>
      </c>
      <c r="AA108" s="60">
        <f t="shared" si="149"/>
        <v>16.016728000000001</v>
      </c>
      <c r="AB108" s="60">
        <f t="shared" si="150"/>
        <v>260.07859463959392</v>
      </c>
      <c r="AC108" s="60">
        <f t="shared" si="151"/>
        <v>78.543735581157364</v>
      </c>
      <c r="AD108" s="60">
        <f t="shared" ref="AD108:AD134" si="156">AB108*0.123</f>
        <v>31.989667140670051</v>
      </c>
      <c r="AE108" s="60">
        <f t="shared" ref="AE108:AE133" si="157">AB108*1.734*0.05</f>
        <v>22.548814155252796</v>
      </c>
      <c r="AF108" s="60" t="s">
        <v>83</v>
      </c>
      <c r="AG108" s="159">
        <v>30.677966000000001</v>
      </c>
      <c r="AH108" s="121">
        <v>23.9</v>
      </c>
      <c r="AI108" s="60">
        <v>30.353000000000002</v>
      </c>
      <c r="AJ108" s="60">
        <v>30.831000000000003</v>
      </c>
      <c r="AK108" s="60">
        <v>32.981999999999999</v>
      </c>
      <c r="AL108" s="60">
        <f t="shared" ref="AL108:AL134" si="158">(AI108*6+AJ108*3+AK108*3)/12</f>
        <v>31.129750000000001</v>
      </c>
      <c r="AM108" s="60">
        <f t="shared" ref="AM108:AM115" si="159">AG108*AL108/100*23</f>
        <v>219.64940478035504</v>
      </c>
      <c r="AN108" s="60" t="s">
        <v>170</v>
      </c>
      <c r="AO108" s="60">
        <v>8.5399999999999991</v>
      </c>
      <c r="AP108" s="60">
        <v>0.2</v>
      </c>
      <c r="AQ108" s="60">
        <f t="shared" ref="AQ108:AQ128" si="160">AG108*AO108*AP108</f>
        <v>52.397965927999998</v>
      </c>
      <c r="AR108" s="60">
        <f t="shared" ref="AR108:AR134" si="161">AM108+AQ108</f>
        <v>272.04737070835506</v>
      </c>
      <c r="AS108" s="60" t="s">
        <v>266</v>
      </c>
      <c r="AT108" s="60">
        <v>456</v>
      </c>
      <c r="AU108" s="60">
        <v>0.6</v>
      </c>
      <c r="AV108" s="60">
        <f>AU108/100*AL108*0.23*AT108</f>
        <v>19.589329080000002</v>
      </c>
      <c r="AW108" s="60">
        <v>50000</v>
      </c>
      <c r="AX108" s="60">
        <v>23</v>
      </c>
      <c r="AY108" s="60" t="s">
        <v>387</v>
      </c>
      <c r="AZ108" s="60">
        <v>12656</v>
      </c>
      <c r="BA108" s="80">
        <v>13</v>
      </c>
      <c r="BB108" s="60">
        <f t="shared" ref="BB108:BB115" si="162">AZ108*BA108/AW108*AX108</f>
        <v>75.682879999999997</v>
      </c>
      <c r="BC108" s="60">
        <v>37.44</v>
      </c>
      <c r="BD108" s="60">
        <v>34.82</v>
      </c>
      <c r="BE108" s="60">
        <v>626.88</v>
      </c>
      <c r="BF108" s="60">
        <v>6.5</v>
      </c>
      <c r="BG108" s="60"/>
      <c r="BH108" s="80">
        <f>AB108+AC108+AD108+AR108+AV108+BB108+BC108+BD108+BE108+BF108+BG108</f>
        <v>1443.5715771497764</v>
      </c>
      <c r="BI108" s="60">
        <f t="shared" ref="BI108:BI134" si="163">AB108*0.2</f>
        <v>52.015718927918783</v>
      </c>
      <c r="BJ108" s="80">
        <f t="shared" ref="BJ108:BJ128" si="164">BH108+AE108+BI108</f>
        <v>1518.1361102329479</v>
      </c>
      <c r="BK108" s="102">
        <f>BH108-AD108</f>
        <v>1411.5819100091064</v>
      </c>
      <c r="BL108" s="43"/>
      <c r="BM108" s="43"/>
      <c r="BN108" s="33"/>
      <c r="BR108" s="127"/>
    </row>
    <row r="109" spans="1:70" ht="50.25" customHeight="1" x14ac:dyDescent="0.25">
      <c r="A109" s="37" t="s">
        <v>392</v>
      </c>
      <c r="B109" s="78" t="s">
        <v>213</v>
      </c>
      <c r="C109" s="156" t="s">
        <v>207</v>
      </c>
      <c r="D109" s="156" t="s">
        <v>311</v>
      </c>
      <c r="E109" s="156">
        <v>4</v>
      </c>
      <c r="F109" s="156">
        <v>63.25</v>
      </c>
      <c r="G109" s="156">
        <v>0</v>
      </c>
      <c r="H109" s="101">
        <f t="shared" si="152"/>
        <v>0</v>
      </c>
      <c r="I109" s="156"/>
      <c r="J109" s="156">
        <f t="shared" si="153"/>
        <v>0</v>
      </c>
      <c r="K109" s="156">
        <v>40</v>
      </c>
      <c r="L109" s="156">
        <f t="shared" si="154"/>
        <v>25.3</v>
      </c>
      <c r="M109" s="156">
        <v>2.65</v>
      </c>
      <c r="N109" s="156">
        <v>25</v>
      </c>
      <c r="O109" s="156">
        <f t="shared" si="155"/>
        <v>15.8125</v>
      </c>
      <c r="P109" s="156"/>
      <c r="Q109" s="156"/>
      <c r="R109" s="156">
        <v>40</v>
      </c>
      <c r="S109" s="156">
        <f t="shared" si="143"/>
        <v>42.805</v>
      </c>
      <c r="T109" s="156">
        <v>30</v>
      </c>
      <c r="U109" s="156">
        <f t="shared" si="144"/>
        <v>44.945249999999994</v>
      </c>
      <c r="V109" s="156">
        <v>30</v>
      </c>
      <c r="W109" s="156">
        <f t="shared" si="145"/>
        <v>44.945249999999994</v>
      </c>
      <c r="X109" s="60">
        <f t="shared" si="146"/>
        <v>239.70799999999997</v>
      </c>
      <c r="Y109" s="60">
        <f t="shared" si="147"/>
        <v>1.5228426395939085</v>
      </c>
      <c r="Z109" s="60">
        <f t="shared" si="148"/>
        <v>14.382479999999997</v>
      </c>
      <c r="AA109" s="60">
        <f t="shared" si="149"/>
        <v>16.77956</v>
      </c>
      <c r="AB109" s="60">
        <f t="shared" si="150"/>
        <v>272.39288263959384</v>
      </c>
      <c r="AC109" s="60">
        <f t="shared" si="151"/>
        <v>82.262650557157329</v>
      </c>
      <c r="AD109" s="60">
        <f t="shared" si="156"/>
        <v>33.504324564670043</v>
      </c>
      <c r="AE109" s="60">
        <f t="shared" si="157"/>
        <v>23.616462924852787</v>
      </c>
      <c r="AF109" s="60" t="s">
        <v>200</v>
      </c>
      <c r="AG109" s="159">
        <v>30.677966000000001</v>
      </c>
      <c r="AH109" s="60">
        <v>11.9</v>
      </c>
      <c r="AI109" s="60">
        <v>15.113000000000001</v>
      </c>
      <c r="AJ109" s="60">
        <v>15.351000000000001</v>
      </c>
      <c r="AK109" s="60">
        <v>16.422000000000001</v>
      </c>
      <c r="AL109" s="60">
        <f t="shared" si="158"/>
        <v>15.499750000000001</v>
      </c>
      <c r="AM109" s="60">
        <f t="shared" si="159"/>
        <v>109.36518480695501</v>
      </c>
      <c r="AN109" s="60"/>
      <c r="AO109" s="60"/>
      <c r="AP109" s="60"/>
      <c r="AQ109" s="60">
        <f t="shared" si="160"/>
        <v>0</v>
      </c>
      <c r="AR109" s="60">
        <f t="shared" si="161"/>
        <v>109.36518480695501</v>
      </c>
      <c r="AS109" s="60"/>
      <c r="AT109" s="60"/>
      <c r="AU109" s="60"/>
      <c r="AV109" s="60">
        <f t="shared" ref="AV109:AV115" si="165">AL109/100*23*AU109/100*AT109</f>
        <v>0</v>
      </c>
      <c r="AW109" s="60">
        <v>50000</v>
      </c>
      <c r="AX109" s="60">
        <v>23</v>
      </c>
      <c r="AY109" s="60" t="s">
        <v>201</v>
      </c>
      <c r="AZ109" s="60">
        <v>7057</v>
      </c>
      <c r="BA109" s="80">
        <v>4</v>
      </c>
      <c r="BB109" s="60">
        <f t="shared" si="162"/>
        <v>12.984879999999999</v>
      </c>
      <c r="BC109" s="60">
        <v>37.44</v>
      </c>
      <c r="BD109" s="60">
        <v>34.82</v>
      </c>
      <c r="BE109" s="60">
        <v>5.48</v>
      </c>
      <c r="BF109" s="60">
        <v>6.5</v>
      </c>
      <c r="BG109" s="60"/>
      <c r="BH109" s="80">
        <f t="shared" ref="BH109:BH114" si="166">AB109+AC109+AD109+AR109+AV109+BB109+BC109+BD109+BE109+BF109</f>
        <v>594.74992256837629</v>
      </c>
      <c r="BI109" s="60">
        <f t="shared" si="163"/>
        <v>54.478576527918769</v>
      </c>
      <c r="BJ109" s="80">
        <f t="shared" si="164"/>
        <v>672.84496202114792</v>
      </c>
      <c r="BK109" s="102"/>
      <c r="BL109" s="43"/>
      <c r="BM109" s="43"/>
      <c r="BN109" s="33"/>
      <c r="BR109" s="127"/>
    </row>
    <row r="110" spans="1:70" ht="37.5" customHeight="1" x14ac:dyDescent="0.25">
      <c r="A110" s="37" t="s">
        <v>393</v>
      </c>
      <c r="B110" s="78" t="s">
        <v>214</v>
      </c>
      <c r="C110" s="156" t="s">
        <v>208</v>
      </c>
      <c r="D110" s="156" t="s">
        <v>311</v>
      </c>
      <c r="E110" s="156">
        <v>4</v>
      </c>
      <c r="F110" s="156">
        <v>63.25</v>
      </c>
      <c r="G110" s="156">
        <v>0</v>
      </c>
      <c r="H110" s="101">
        <f t="shared" si="152"/>
        <v>0</v>
      </c>
      <c r="I110" s="156"/>
      <c r="J110" s="156">
        <f t="shared" si="153"/>
        <v>0</v>
      </c>
      <c r="K110" s="156">
        <v>0</v>
      </c>
      <c r="L110" s="156">
        <f t="shared" si="154"/>
        <v>0</v>
      </c>
      <c r="M110" s="156">
        <v>0</v>
      </c>
      <c r="N110" s="156">
        <v>25</v>
      </c>
      <c r="O110" s="156">
        <f t="shared" si="155"/>
        <v>15.8125</v>
      </c>
      <c r="P110" s="156"/>
      <c r="Q110" s="156"/>
      <c r="R110" s="156">
        <v>40</v>
      </c>
      <c r="S110" s="156">
        <f t="shared" si="143"/>
        <v>31.625</v>
      </c>
      <c r="T110" s="156">
        <v>30</v>
      </c>
      <c r="U110" s="156">
        <f t="shared" si="144"/>
        <v>33.206249999999997</v>
      </c>
      <c r="V110" s="156">
        <v>30</v>
      </c>
      <c r="W110" s="156">
        <f t="shared" si="145"/>
        <v>33.206249999999997</v>
      </c>
      <c r="X110" s="60">
        <f t="shared" si="146"/>
        <v>177.10000000000002</v>
      </c>
      <c r="Y110" s="60">
        <f t="shared" si="147"/>
        <v>1.5228426395939085</v>
      </c>
      <c r="Z110" s="60">
        <f t="shared" si="148"/>
        <v>10.626000000000001</v>
      </c>
      <c r="AA110" s="60">
        <f t="shared" si="149"/>
        <v>12.397000000000002</v>
      </c>
      <c r="AB110" s="60">
        <f t="shared" si="150"/>
        <v>201.64584263959392</v>
      </c>
      <c r="AC110" s="60">
        <f t="shared" si="151"/>
        <v>60.897044477157365</v>
      </c>
      <c r="AD110" s="60">
        <f t="shared" si="156"/>
        <v>24.802438644670051</v>
      </c>
      <c r="AE110" s="60">
        <f t="shared" si="157"/>
        <v>17.482694556852792</v>
      </c>
      <c r="AF110" s="60" t="s">
        <v>200</v>
      </c>
      <c r="AG110" s="159">
        <v>30.677966000000001</v>
      </c>
      <c r="AH110" s="60">
        <v>11.9</v>
      </c>
      <c r="AI110" s="60">
        <v>15.113000000000001</v>
      </c>
      <c r="AJ110" s="60">
        <v>15.351000000000001</v>
      </c>
      <c r="AK110" s="60">
        <v>16.422000000000001</v>
      </c>
      <c r="AL110" s="60">
        <f t="shared" si="158"/>
        <v>15.499750000000001</v>
      </c>
      <c r="AM110" s="60">
        <f t="shared" si="159"/>
        <v>109.36518480695501</v>
      </c>
      <c r="AN110" s="60"/>
      <c r="AO110" s="60"/>
      <c r="AP110" s="60"/>
      <c r="AQ110" s="60">
        <f t="shared" si="160"/>
        <v>0</v>
      </c>
      <c r="AR110" s="60">
        <f t="shared" si="161"/>
        <v>109.36518480695501</v>
      </c>
      <c r="AS110" s="60"/>
      <c r="AT110" s="60"/>
      <c r="AU110" s="60"/>
      <c r="AV110" s="60">
        <f t="shared" si="165"/>
        <v>0</v>
      </c>
      <c r="AW110" s="60">
        <v>50000</v>
      </c>
      <c r="AX110" s="60">
        <v>23</v>
      </c>
      <c r="AY110" s="60" t="s">
        <v>201</v>
      </c>
      <c r="AZ110" s="60">
        <v>7057</v>
      </c>
      <c r="BA110" s="80">
        <v>4</v>
      </c>
      <c r="BB110" s="60">
        <f t="shared" si="162"/>
        <v>12.984879999999999</v>
      </c>
      <c r="BC110" s="60">
        <v>37.44</v>
      </c>
      <c r="BD110" s="60">
        <v>34.82</v>
      </c>
      <c r="BE110" s="60">
        <v>5.48</v>
      </c>
      <c r="BF110" s="60">
        <v>6.5</v>
      </c>
      <c r="BG110" s="60"/>
      <c r="BH110" s="80">
        <f t="shared" si="166"/>
        <v>493.93539056837636</v>
      </c>
      <c r="BI110" s="60">
        <f t="shared" si="163"/>
        <v>40.329168527918789</v>
      </c>
      <c r="BJ110" s="80">
        <f t="shared" si="164"/>
        <v>551.74725365314794</v>
      </c>
      <c r="BK110" s="102"/>
      <c r="BL110" s="43"/>
      <c r="BM110" s="43"/>
      <c r="BN110" s="33"/>
      <c r="BR110" s="127"/>
    </row>
    <row r="111" spans="1:70" ht="76.5" customHeight="1" x14ac:dyDescent="0.25">
      <c r="A111" s="37" t="s">
        <v>394</v>
      </c>
      <c r="B111" s="78" t="s">
        <v>239</v>
      </c>
      <c r="C111" s="156" t="s">
        <v>209</v>
      </c>
      <c r="D111" s="156" t="s">
        <v>311</v>
      </c>
      <c r="E111" s="156">
        <v>4</v>
      </c>
      <c r="F111" s="156">
        <v>63.25</v>
      </c>
      <c r="G111" s="156">
        <v>0</v>
      </c>
      <c r="H111" s="101">
        <f t="shared" si="152"/>
        <v>0</v>
      </c>
      <c r="I111" s="156"/>
      <c r="J111" s="156">
        <f t="shared" si="153"/>
        <v>0</v>
      </c>
      <c r="K111" s="156">
        <v>40</v>
      </c>
      <c r="L111" s="156">
        <f t="shared" si="154"/>
        <v>25.3</v>
      </c>
      <c r="M111" s="156">
        <v>1.65</v>
      </c>
      <c r="N111" s="156">
        <v>25</v>
      </c>
      <c r="O111" s="156">
        <f t="shared" si="155"/>
        <v>15.8125</v>
      </c>
      <c r="P111" s="156"/>
      <c r="Q111" s="156"/>
      <c r="R111" s="156">
        <v>40</v>
      </c>
      <c r="S111" s="156">
        <f t="shared" si="143"/>
        <v>42.405000000000001</v>
      </c>
      <c r="T111" s="156">
        <v>30</v>
      </c>
      <c r="U111" s="156">
        <f t="shared" si="144"/>
        <v>44.525250000000007</v>
      </c>
      <c r="V111" s="156">
        <v>30</v>
      </c>
      <c r="W111" s="156">
        <f t="shared" si="145"/>
        <v>44.525250000000007</v>
      </c>
      <c r="X111" s="60">
        <f t="shared" si="146"/>
        <v>237.46800000000002</v>
      </c>
      <c r="Y111" s="60">
        <f t="shared" si="147"/>
        <v>1.5228426395939085</v>
      </c>
      <c r="Z111" s="60">
        <f t="shared" si="148"/>
        <v>14.24808</v>
      </c>
      <c r="AA111" s="60">
        <f t="shared" si="149"/>
        <v>16.622760000000003</v>
      </c>
      <c r="AB111" s="60">
        <f t="shared" si="150"/>
        <v>269.86168263959394</v>
      </c>
      <c r="AC111" s="60">
        <f t="shared" si="151"/>
        <v>81.498228157157371</v>
      </c>
      <c r="AD111" s="60">
        <f t="shared" si="156"/>
        <v>33.192986964670055</v>
      </c>
      <c r="AE111" s="60">
        <f t="shared" si="157"/>
        <v>23.397007884852798</v>
      </c>
      <c r="AF111" s="60" t="s">
        <v>200</v>
      </c>
      <c r="AG111" s="159">
        <v>30.677966000000001</v>
      </c>
      <c r="AH111" s="60">
        <v>10.199999999999999</v>
      </c>
      <c r="AI111" s="60">
        <v>13.973999999999998</v>
      </c>
      <c r="AJ111" s="60">
        <v>14.177999999999999</v>
      </c>
      <c r="AK111" s="60">
        <v>15.095999999999997</v>
      </c>
      <c r="AL111" s="60">
        <f t="shared" si="158"/>
        <v>14.305499999999997</v>
      </c>
      <c r="AM111" s="60">
        <f t="shared" si="159"/>
        <v>100.93863780098997</v>
      </c>
      <c r="AN111" s="60"/>
      <c r="AO111" s="60"/>
      <c r="AP111" s="60"/>
      <c r="AQ111" s="60">
        <f t="shared" si="160"/>
        <v>0</v>
      </c>
      <c r="AR111" s="60">
        <f t="shared" si="161"/>
        <v>100.93863780098997</v>
      </c>
      <c r="AS111" s="60"/>
      <c r="AT111" s="60"/>
      <c r="AU111" s="60"/>
      <c r="AV111" s="60">
        <f t="shared" si="165"/>
        <v>0</v>
      </c>
      <c r="AW111" s="60">
        <v>50000</v>
      </c>
      <c r="AX111" s="60">
        <v>23</v>
      </c>
      <c r="AY111" s="60" t="s">
        <v>201</v>
      </c>
      <c r="AZ111" s="60">
        <v>7057</v>
      </c>
      <c r="BA111" s="80">
        <v>4</v>
      </c>
      <c r="BB111" s="60">
        <f t="shared" si="162"/>
        <v>12.984879999999999</v>
      </c>
      <c r="BC111" s="60">
        <v>37.44</v>
      </c>
      <c r="BD111" s="60">
        <v>34.82</v>
      </c>
      <c r="BE111" s="60">
        <v>0</v>
      </c>
      <c r="BF111" s="60">
        <v>6.5</v>
      </c>
      <c r="BG111" s="60"/>
      <c r="BH111" s="80">
        <f t="shared" si="166"/>
        <v>577.23641556241137</v>
      </c>
      <c r="BI111" s="60">
        <f t="shared" si="163"/>
        <v>53.972336527918792</v>
      </c>
      <c r="BJ111" s="80">
        <f t="shared" si="164"/>
        <v>654.60575997518288</v>
      </c>
      <c r="BK111" s="102">
        <f>BH111-AD111</f>
        <v>544.04342859774135</v>
      </c>
      <c r="BL111" s="43"/>
      <c r="BM111" s="43"/>
      <c r="BN111" s="33"/>
      <c r="BR111" s="127"/>
    </row>
    <row r="112" spans="1:70" ht="71.25" customHeight="1" x14ac:dyDescent="0.25">
      <c r="A112" s="37" t="s">
        <v>395</v>
      </c>
      <c r="B112" s="78" t="s">
        <v>237</v>
      </c>
      <c r="C112" s="156" t="s">
        <v>210</v>
      </c>
      <c r="D112" s="156" t="s">
        <v>311</v>
      </c>
      <c r="E112" s="156">
        <v>4</v>
      </c>
      <c r="F112" s="156">
        <v>63.25</v>
      </c>
      <c r="G112" s="156">
        <v>0</v>
      </c>
      <c r="H112" s="101">
        <f t="shared" si="152"/>
        <v>0</v>
      </c>
      <c r="I112" s="156"/>
      <c r="J112" s="156">
        <f t="shared" si="153"/>
        <v>0</v>
      </c>
      <c r="K112" s="156">
        <v>40</v>
      </c>
      <c r="L112" s="156">
        <f t="shared" si="154"/>
        <v>25.3</v>
      </c>
      <c r="M112" s="156">
        <v>2.65</v>
      </c>
      <c r="N112" s="156">
        <v>25</v>
      </c>
      <c r="O112" s="156">
        <f t="shared" si="155"/>
        <v>15.8125</v>
      </c>
      <c r="P112" s="156"/>
      <c r="Q112" s="156"/>
      <c r="R112" s="156">
        <v>40</v>
      </c>
      <c r="S112" s="156">
        <f t="shared" si="143"/>
        <v>42.805</v>
      </c>
      <c r="T112" s="156">
        <v>30</v>
      </c>
      <c r="U112" s="156">
        <f t="shared" si="144"/>
        <v>44.945249999999994</v>
      </c>
      <c r="V112" s="156">
        <v>30</v>
      </c>
      <c r="W112" s="156">
        <f t="shared" si="145"/>
        <v>44.945249999999994</v>
      </c>
      <c r="X112" s="60">
        <f t="shared" si="146"/>
        <v>239.70799999999997</v>
      </c>
      <c r="Y112" s="60">
        <f t="shared" si="147"/>
        <v>1.5228426395939085</v>
      </c>
      <c r="Z112" s="60">
        <f t="shared" si="148"/>
        <v>14.382479999999997</v>
      </c>
      <c r="AA112" s="60">
        <f t="shared" si="149"/>
        <v>16.77956</v>
      </c>
      <c r="AB112" s="60">
        <f t="shared" si="150"/>
        <v>272.39288263959384</v>
      </c>
      <c r="AC112" s="60">
        <f t="shared" si="151"/>
        <v>82.262650557157329</v>
      </c>
      <c r="AD112" s="60">
        <f t="shared" si="156"/>
        <v>33.504324564670043</v>
      </c>
      <c r="AE112" s="60">
        <f t="shared" si="157"/>
        <v>23.616462924852787</v>
      </c>
      <c r="AF112" s="60" t="s">
        <v>200</v>
      </c>
      <c r="AG112" s="159">
        <v>30.677966000000001</v>
      </c>
      <c r="AH112" s="60">
        <v>10.199999999999999</v>
      </c>
      <c r="AI112" s="60">
        <v>13.973999999999998</v>
      </c>
      <c r="AJ112" s="60">
        <v>14.177999999999999</v>
      </c>
      <c r="AK112" s="60">
        <v>15.095999999999997</v>
      </c>
      <c r="AL112" s="60">
        <f t="shared" si="158"/>
        <v>14.305499999999997</v>
      </c>
      <c r="AM112" s="60">
        <f t="shared" si="159"/>
        <v>100.93863780098997</v>
      </c>
      <c r="AN112" s="60"/>
      <c r="AO112" s="60"/>
      <c r="AP112" s="60"/>
      <c r="AQ112" s="60">
        <f t="shared" si="160"/>
        <v>0</v>
      </c>
      <c r="AR112" s="60">
        <f t="shared" si="161"/>
        <v>100.93863780098997</v>
      </c>
      <c r="AS112" s="60"/>
      <c r="AT112" s="60"/>
      <c r="AU112" s="60"/>
      <c r="AV112" s="60">
        <f t="shared" si="165"/>
        <v>0</v>
      </c>
      <c r="AW112" s="60">
        <v>50000</v>
      </c>
      <c r="AX112" s="60">
        <v>23</v>
      </c>
      <c r="AY112" s="60" t="s">
        <v>201</v>
      </c>
      <c r="AZ112" s="60">
        <v>7057</v>
      </c>
      <c r="BA112" s="80">
        <v>4</v>
      </c>
      <c r="BB112" s="60">
        <f t="shared" si="162"/>
        <v>12.984879999999999</v>
      </c>
      <c r="BC112" s="60">
        <v>37.44</v>
      </c>
      <c r="BD112" s="60">
        <v>34.82</v>
      </c>
      <c r="BE112" s="60">
        <v>0</v>
      </c>
      <c r="BF112" s="60">
        <v>6.5</v>
      </c>
      <c r="BG112" s="60"/>
      <c r="BH112" s="80">
        <f t="shared" si="166"/>
        <v>580.84337556241121</v>
      </c>
      <c r="BI112" s="60">
        <f t="shared" si="163"/>
        <v>54.478576527918769</v>
      </c>
      <c r="BJ112" s="80">
        <f t="shared" si="164"/>
        <v>658.93841501518284</v>
      </c>
      <c r="BK112" s="102">
        <f>BH112-AD112</f>
        <v>547.3390509977412</v>
      </c>
      <c r="BL112" s="43"/>
      <c r="BM112" s="43"/>
      <c r="BN112" s="33"/>
      <c r="BR112" s="127"/>
    </row>
    <row r="113" spans="1:70" ht="72.75" customHeight="1" x14ac:dyDescent="0.25">
      <c r="A113" s="58" t="s">
        <v>396</v>
      </c>
      <c r="B113" s="78" t="s">
        <v>238</v>
      </c>
      <c r="C113" s="156" t="s">
        <v>211</v>
      </c>
      <c r="D113" s="156" t="s">
        <v>311</v>
      </c>
      <c r="E113" s="156">
        <v>4</v>
      </c>
      <c r="F113" s="156">
        <v>63.25</v>
      </c>
      <c r="G113" s="156">
        <v>0</v>
      </c>
      <c r="H113" s="101">
        <f t="shared" si="152"/>
        <v>0</v>
      </c>
      <c r="I113" s="156"/>
      <c r="J113" s="156">
        <f t="shared" si="153"/>
        <v>0</v>
      </c>
      <c r="K113" s="156">
        <v>40</v>
      </c>
      <c r="L113" s="156">
        <f t="shared" si="154"/>
        <v>25.3</v>
      </c>
      <c r="M113" s="156">
        <v>1.65</v>
      </c>
      <c r="N113" s="156">
        <v>25</v>
      </c>
      <c r="O113" s="156">
        <f t="shared" si="155"/>
        <v>15.8125</v>
      </c>
      <c r="P113" s="156"/>
      <c r="Q113" s="156"/>
      <c r="R113" s="156">
        <v>40</v>
      </c>
      <c r="S113" s="156">
        <f t="shared" si="143"/>
        <v>42.405000000000001</v>
      </c>
      <c r="T113" s="156">
        <v>30</v>
      </c>
      <c r="U113" s="156">
        <f t="shared" si="144"/>
        <v>44.525250000000007</v>
      </c>
      <c r="V113" s="156">
        <v>30</v>
      </c>
      <c r="W113" s="156">
        <f t="shared" si="145"/>
        <v>44.525250000000007</v>
      </c>
      <c r="X113" s="60">
        <f t="shared" si="146"/>
        <v>237.46800000000002</v>
      </c>
      <c r="Y113" s="60">
        <f t="shared" si="147"/>
        <v>1.5228426395939085</v>
      </c>
      <c r="Z113" s="60">
        <f t="shared" si="148"/>
        <v>14.24808</v>
      </c>
      <c r="AA113" s="60">
        <f t="shared" si="149"/>
        <v>16.622760000000003</v>
      </c>
      <c r="AB113" s="60">
        <f t="shared" si="150"/>
        <v>269.86168263959394</v>
      </c>
      <c r="AC113" s="60">
        <f t="shared" si="151"/>
        <v>81.498228157157371</v>
      </c>
      <c r="AD113" s="60">
        <f t="shared" si="156"/>
        <v>33.192986964670055</v>
      </c>
      <c r="AE113" s="60">
        <f t="shared" si="157"/>
        <v>23.397007884852798</v>
      </c>
      <c r="AF113" s="60" t="s">
        <v>200</v>
      </c>
      <c r="AG113" s="159">
        <v>30.677966000000001</v>
      </c>
      <c r="AH113" s="60">
        <v>10.199999999999999</v>
      </c>
      <c r="AI113" s="60">
        <v>13.973999999999998</v>
      </c>
      <c r="AJ113" s="60">
        <v>14.177999999999999</v>
      </c>
      <c r="AK113" s="60">
        <v>15.095999999999997</v>
      </c>
      <c r="AL113" s="60">
        <f t="shared" si="158"/>
        <v>14.305499999999997</v>
      </c>
      <c r="AM113" s="60">
        <f t="shared" si="159"/>
        <v>100.93863780098997</v>
      </c>
      <c r="AN113" s="60"/>
      <c r="AO113" s="60"/>
      <c r="AP113" s="60"/>
      <c r="AQ113" s="60">
        <f t="shared" si="160"/>
        <v>0</v>
      </c>
      <c r="AR113" s="60">
        <f t="shared" si="161"/>
        <v>100.93863780098997</v>
      </c>
      <c r="AS113" s="60"/>
      <c r="AT113" s="60"/>
      <c r="AU113" s="60"/>
      <c r="AV113" s="60">
        <f t="shared" si="165"/>
        <v>0</v>
      </c>
      <c r="AW113" s="60">
        <v>50000</v>
      </c>
      <c r="AX113" s="60">
        <v>23</v>
      </c>
      <c r="AY113" s="60" t="s">
        <v>201</v>
      </c>
      <c r="AZ113" s="60">
        <v>7057</v>
      </c>
      <c r="BA113" s="80">
        <v>4</v>
      </c>
      <c r="BB113" s="60">
        <f t="shared" si="162"/>
        <v>12.984879999999999</v>
      </c>
      <c r="BC113" s="60">
        <v>37.44</v>
      </c>
      <c r="BD113" s="60">
        <v>34.82</v>
      </c>
      <c r="BE113" s="60">
        <v>0</v>
      </c>
      <c r="BF113" s="60">
        <v>6.5</v>
      </c>
      <c r="BG113" s="60"/>
      <c r="BH113" s="80">
        <f t="shared" si="166"/>
        <v>577.23641556241137</v>
      </c>
      <c r="BI113" s="60">
        <f t="shared" si="163"/>
        <v>53.972336527918792</v>
      </c>
      <c r="BJ113" s="80">
        <f t="shared" si="164"/>
        <v>654.60575997518288</v>
      </c>
      <c r="BK113" s="102">
        <f>BH113-AD113</f>
        <v>544.04342859774135</v>
      </c>
      <c r="BL113" s="43"/>
      <c r="BM113" s="43"/>
      <c r="BN113" s="33"/>
      <c r="BR113" s="127"/>
    </row>
    <row r="114" spans="1:70" ht="94.5" x14ac:dyDescent="0.25">
      <c r="A114" s="37" t="s">
        <v>397</v>
      </c>
      <c r="B114" s="156" t="s">
        <v>298</v>
      </c>
      <c r="C114" s="156" t="s">
        <v>299</v>
      </c>
      <c r="D114" s="156" t="s">
        <v>311</v>
      </c>
      <c r="E114" s="156">
        <v>4</v>
      </c>
      <c r="F114" s="156">
        <v>63.25</v>
      </c>
      <c r="G114" s="156">
        <v>0</v>
      </c>
      <c r="H114" s="101">
        <f t="shared" si="152"/>
        <v>0</v>
      </c>
      <c r="I114" s="156"/>
      <c r="J114" s="156">
        <f t="shared" si="153"/>
        <v>0</v>
      </c>
      <c r="K114" s="156"/>
      <c r="L114" s="156">
        <f t="shared" si="154"/>
        <v>0</v>
      </c>
      <c r="M114" s="156"/>
      <c r="N114" s="156">
        <v>25</v>
      </c>
      <c r="O114" s="156">
        <f t="shared" si="155"/>
        <v>15.8125</v>
      </c>
      <c r="P114" s="156"/>
      <c r="Q114" s="156"/>
      <c r="R114" s="156">
        <v>40</v>
      </c>
      <c r="S114" s="156">
        <f t="shared" si="143"/>
        <v>31.625</v>
      </c>
      <c r="T114" s="156">
        <v>30</v>
      </c>
      <c r="U114" s="156">
        <f t="shared" si="144"/>
        <v>33.206249999999997</v>
      </c>
      <c r="V114" s="156">
        <v>30</v>
      </c>
      <c r="W114" s="156">
        <f t="shared" si="145"/>
        <v>33.206249999999997</v>
      </c>
      <c r="X114" s="60">
        <f t="shared" si="146"/>
        <v>177.10000000000002</v>
      </c>
      <c r="Y114" s="60">
        <f t="shared" si="147"/>
        <v>1.5228426395939085</v>
      </c>
      <c r="Z114" s="60">
        <f t="shared" si="148"/>
        <v>10.626000000000001</v>
      </c>
      <c r="AA114" s="60">
        <f t="shared" si="149"/>
        <v>12.397000000000002</v>
      </c>
      <c r="AB114" s="60">
        <f t="shared" si="150"/>
        <v>201.64584263959392</v>
      </c>
      <c r="AC114" s="60">
        <f t="shared" si="151"/>
        <v>60.897044477157365</v>
      </c>
      <c r="AD114" s="60">
        <f t="shared" si="156"/>
        <v>24.802438644670051</v>
      </c>
      <c r="AE114" s="60">
        <f t="shared" si="157"/>
        <v>17.482694556852792</v>
      </c>
      <c r="AF114" s="60" t="s">
        <v>87</v>
      </c>
      <c r="AG114" s="159">
        <v>31.567796999999999</v>
      </c>
      <c r="AH114" s="60">
        <v>9.1999999999999993</v>
      </c>
      <c r="AI114" s="60">
        <v>11.683999999999999</v>
      </c>
      <c r="AJ114" s="60">
        <v>11.867999999999997</v>
      </c>
      <c r="AK114" s="60">
        <v>12.695999999999996</v>
      </c>
      <c r="AL114" s="60">
        <f t="shared" si="158"/>
        <v>11.982999999999999</v>
      </c>
      <c r="AM114" s="60">
        <f t="shared" si="159"/>
        <v>87.003689633729991</v>
      </c>
      <c r="AN114" s="60"/>
      <c r="AO114" s="60"/>
      <c r="AP114" s="60"/>
      <c r="AQ114" s="60">
        <f t="shared" si="160"/>
        <v>0</v>
      </c>
      <c r="AR114" s="60">
        <f t="shared" si="161"/>
        <v>87.003689633729991</v>
      </c>
      <c r="AS114" s="60" t="s">
        <v>266</v>
      </c>
      <c r="AT114" s="60">
        <v>456</v>
      </c>
      <c r="AU114" s="60">
        <v>0.72</v>
      </c>
      <c r="AV114" s="60">
        <f t="shared" si="165"/>
        <v>9.048794688000001</v>
      </c>
      <c r="AW114" s="60">
        <v>33000</v>
      </c>
      <c r="AX114" s="60">
        <v>23</v>
      </c>
      <c r="AY114" s="60" t="s">
        <v>300</v>
      </c>
      <c r="AZ114" s="60">
        <v>1570</v>
      </c>
      <c r="BA114" s="80">
        <v>4</v>
      </c>
      <c r="BB114" s="60">
        <f t="shared" si="162"/>
        <v>4.376969696969697</v>
      </c>
      <c r="BC114" s="60">
        <v>37.44</v>
      </c>
      <c r="BD114" s="60">
        <v>34.82</v>
      </c>
      <c r="BE114" s="60">
        <v>84.92</v>
      </c>
      <c r="BF114" s="60">
        <v>6.5</v>
      </c>
      <c r="BG114" s="60"/>
      <c r="BH114" s="80">
        <f t="shared" si="166"/>
        <v>551.45477978012104</v>
      </c>
      <c r="BI114" s="60">
        <f t="shared" si="163"/>
        <v>40.329168527918789</v>
      </c>
      <c r="BJ114" s="80">
        <f t="shared" si="164"/>
        <v>609.26664286489267</v>
      </c>
      <c r="BK114" s="102"/>
      <c r="BL114" s="43"/>
      <c r="BM114" s="43"/>
      <c r="BN114" s="33"/>
      <c r="BR114" s="127"/>
    </row>
    <row r="115" spans="1:70" ht="47.25" x14ac:dyDescent="0.25">
      <c r="A115" s="37" t="s">
        <v>398</v>
      </c>
      <c r="B115" s="156" t="s">
        <v>341</v>
      </c>
      <c r="C115" s="120" t="s">
        <v>342</v>
      </c>
      <c r="D115" s="156" t="s">
        <v>311</v>
      </c>
      <c r="E115" s="156">
        <v>4</v>
      </c>
      <c r="F115" s="156">
        <v>63.25</v>
      </c>
      <c r="G115" s="156">
        <v>0</v>
      </c>
      <c r="H115" s="156">
        <f t="shared" si="152"/>
        <v>0</v>
      </c>
      <c r="I115" s="156"/>
      <c r="J115" s="156">
        <f t="shared" si="153"/>
        <v>0</v>
      </c>
      <c r="K115" s="156">
        <v>0</v>
      </c>
      <c r="L115" s="156">
        <f t="shared" si="154"/>
        <v>0</v>
      </c>
      <c r="M115" s="156">
        <v>0</v>
      </c>
      <c r="N115" s="156">
        <v>25</v>
      </c>
      <c r="O115" s="156">
        <f t="shared" si="155"/>
        <v>15.8125</v>
      </c>
      <c r="P115" s="156"/>
      <c r="Q115" s="156"/>
      <c r="R115" s="156">
        <v>40</v>
      </c>
      <c r="S115" s="156">
        <f t="shared" si="143"/>
        <v>31.625</v>
      </c>
      <c r="T115" s="156">
        <v>30</v>
      </c>
      <c r="U115" s="156">
        <f t="shared" si="144"/>
        <v>33.206249999999997</v>
      </c>
      <c r="V115" s="156">
        <v>30</v>
      </c>
      <c r="W115" s="156">
        <f t="shared" si="145"/>
        <v>33.206249999999997</v>
      </c>
      <c r="X115" s="60">
        <f t="shared" si="146"/>
        <v>177.10000000000002</v>
      </c>
      <c r="Y115" s="60">
        <f t="shared" si="147"/>
        <v>1.5228426395939085</v>
      </c>
      <c r="Z115" s="60">
        <f t="shared" si="148"/>
        <v>10.626000000000001</v>
      </c>
      <c r="AA115" s="60">
        <f t="shared" si="149"/>
        <v>12.397000000000002</v>
      </c>
      <c r="AB115" s="60">
        <f t="shared" si="150"/>
        <v>201.64584263959392</v>
      </c>
      <c r="AC115" s="60">
        <f t="shared" si="151"/>
        <v>60.897044477157365</v>
      </c>
      <c r="AD115" s="60">
        <f t="shared" si="156"/>
        <v>24.802438644670051</v>
      </c>
      <c r="AE115" s="60">
        <f t="shared" si="157"/>
        <v>17.482694556852792</v>
      </c>
      <c r="AF115" s="60" t="s">
        <v>200</v>
      </c>
      <c r="AG115" s="159">
        <v>30.677966000000001</v>
      </c>
      <c r="AH115" s="60">
        <v>10.199999999999999</v>
      </c>
      <c r="AI115" s="60">
        <v>13.973999999999998</v>
      </c>
      <c r="AJ115" s="60">
        <v>14.177999999999999</v>
      </c>
      <c r="AK115" s="60">
        <v>15.095999999999997</v>
      </c>
      <c r="AL115" s="60">
        <f t="shared" si="158"/>
        <v>14.305499999999997</v>
      </c>
      <c r="AM115" s="60">
        <f t="shared" si="159"/>
        <v>100.93863780098997</v>
      </c>
      <c r="AN115" s="60"/>
      <c r="AO115" s="60"/>
      <c r="AP115" s="60"/>
      <c r="AQ115" s="60">
        <f t="shared" si="160"/>
        <v>0</v>
      </c>
      <c r="AR115" s="60">
        <f t="shared" si="161"/>
        <v>100.93863780098997</v>
      </c>
      <c r="AS115" s="60"/>
      <c r="AT115" s="60"/>
      <c r="AU115" s="60"/>
      <c r="AV115" s="60">
        <f t="shared" si="165"/>
        <v>0</v>
      </c>
      <c r="AW115" s="60">
        <v>50000</v>
      </c>
      <c r="AX115" s="60">
        <v>23</v>
      </c>
      <c r="AY115" s="60" t="s">
        <v>201</v>
      </c>
      <c r="AZ115" s="60">
        <v>7057</v>
      </c>
      <c r="BA115" s="80">
        <v>4</v>
      </c>
      <c r="BB115" s="60">
        <f t="shared" si="162"/>
        <v>12.984879999999999</v>
      </c>
      <c r="BC115" s="60">
        <v>37.44</v>
      </c>
      <c r="BD115" s="60">
        <v>34.82</v>
      </c>
      <c r="BE115" s="60">
        <v>0</v>
      </c>
      <c r="BF115" s="60">
        <v>6.5</v>
      </c>
      <c r="BG115" s="60"/>
      <c r="BH115" s="80">
        <f t="shared" ref="BH115:BH125" si="167">AB115+AC115+AD115+AR115+AV115+BB115+BC115+BD115+BE115+BF115+BG115</f>
        <v>480.02884356241128</v>
      </c>
      <c r="BI115" s="60">
        <f t="shared" si="163"/>
        <v>40.329168527918789</v>
      </c>
      <c r="BJ115" s="80">
        <f t="shared" si="164"/>
        <v>537.84070664718286</v>
      </c>
      <c r="BK115" s="102">
        <f t="shared" ref="BK115:BK126" si="168">BH115-AD115</f>
        <v>455.22640491774121</v>
      </c>
      <c r="BL115" s="43"/>
      <c r="BM115" s="43"/>
      <c r="BN115" s="33"/>
      <c r="BR115" s="127"/>
    </row>
    <row r="116" spans="1:70" ht="47.25" x14ac:dyDescent="0.25">
      <c r="A116" s="37" t="s">
        <v>399</v>
      </c>
      <c r="B116" s="156" t="s">
        <v>341</v>
      </c>
      <c r="C116" s="120" t="s">
        <v>343</v>
      </c>
      <c r="D116" s="156" t="s">
        <v>311</v>
      </c>
      <c r="E116" s="156">
        <v>4</v>
      </c>
      <c r="F116" s="156">
        <v>63.25</v>
      </c>
      <c r="G116" s="156">
        <v>0</v>
      </c>
      <c r="H116" s="156">
        <f t="shared" si="152"/>
        <v>0</v>
      </c>
      <c r="I116" s="156"/>
      <c r="J116" s="156">
        <f t="shared" si="153"/>
        <v>0</v>
      </c>
      <c r="K116" s="156">
        <v>0</v>
      </c>
      <c r="L116" s="156">
        <f t="shared" si="154"/>
        <v>0</v>
      </c>
      <c r="M116" s="156">
        <v>0</v>
      </c>
      <c r="N116" s="156">
        <v>25</v>
      </c>
      <c r="O116" s="156">
        <f t="shared" si="155"/>
        <v>15.8125</v>
      </c>
      <c r="P116" s="156"/>
      <c r="Q116" s="156"/>
      <c r="R116" s="156">
        <v>40</v>
      </c>
      <c r="S116" s="156">
        <f t="shared" si="143"/>
        <v>31.625</v>
      </c>
      <c r="T116" s="156">
        <v>30</v>
      </c>
      <c r="U116" s="156">
        <f t="shared" si="144"/>
        <v>33.206249999999997</v>
      </c>
      <c r="V116" s="156">
        <v>30</v>
      </c>
      <c r="W116" s="156">
        <f t="shared" si="145"/>
        <v>33.206249999999997</v>
      </c>
      <c r="X116" s="60">
        <f t="shared" si="146"/>
        <v>177.10000000000002</v>
      </c>
      <c r="Y116" s="60">
        <f t="shared" si="147"/>
        <v>1.5228426395939085</v>
      </c>
      <c r="Z116" s="60">
        <f t="shared" ref="Z116:Z124" si="169">X116*0.06</f>
        <v>10.626000000000001</v>
      </c>
      <c r="AA116" s="60">
        <f t="shared" si="149"/>
        <v>12.397000000000002</v>
      </c>
      <c r="AB116" s="60">
        <f t="shared" si="150"/>
        <v>201.64584263959392</v>
      </c>
      <c r="AC116" s="60">
        <f t="shared" si="151"/>
        <v>60.897044477157365</v>
      </c>
      <c r="AD116" s="60">
        <f t="shared" si="156"/>
        <v>24.802438644670051</v>
      </c>
      <c r="AE116" s="60">
        <f t="shared" si="157"/>
        <v>17.482694556852792</v>
      </c>
      <c r="AF116" s="60" t="s">
        <v>200</v>
      </c>
      <c r="AG116" s="159">
        <v>30.677966000000001</v>
      </c>
      <c r="AH116" s="60">
        <v>10.199999999999999</v>
      </c>
      <c r="AI116" s="60">
        <v>13.973999999999998</v>
      </c>
      <c r="AJ116" s="60">
        <v>14.177999999999999</v>
      </c>
      <c r="AK116" s="60">
        <v>15.095999999999997</v>
      </c>
      <c r="AL116" s="60">
        <f t="shared" si="158"/>
        <v>14.305499999999997</v>
      </c>
      <c r="AM116" s="60">
        <f t="shared" ref="AM116:AM124" si="170">AG116*AL116/100*23</f>
        <v>100.93863780098997</v>
      </c>
      <c r="AN116" s="60"/>
      <c r="AO116" s="60"/>
      <c r="AP116" s="60"/>
      <c r="AQ116" s="60">
        <f t="shared" si="160"/>
        <v>0</v>
      </c>
      <c r="AR116" s="60">
        <f t="shared" si="161"/>
        <v>100.93863780098997</v>
      </c>
      <c r="AS116" s="60"/>
      <c r="AT116" s="60"/>
      <c r="AU116" s="60"/>
      <c r="AV116" s="60">
        <f t="shared" ref="AV116:AV124" si="171">AL116/100*23*AU116/100*AT116</f>
        <v>0</v>
      </c>
      <c r="AW116" s="60">
        <v>50000</v>
      </c>
      <c r="AX116" s="60">
        <v>23</v>
      </c>
      <c r="AY116" s="60" t="s">
        <v>201</v>
      </c>
      <c r="AZ116" s="60">
        <v>7057</v>
      </c>
      <c r="BA116" s="80">
        <v>4</v>
      </c>
      <c r="BB116" s="60">
        <f t="shared" ref="BB116:BB124" si="172">AZ116*BA116/AW116*AX116</f>
        <v>12.984879999999999</v>
      </c>
      <c r="BC116" s="60">
        <v>37.44</v>
      </c>
      <c r="BD116" s="60">
        <v>34.82</v>
      </c>
      <c r="BE116" s="60">
        <v>0</v>
      </c>
      <c r="BF116" s="60">
        <v>6.5</v>
      </c>
      <c r="BG116" s="60"/>
      <c r="BH116" s="80">
        <f t="shared" si="167"/>
        <v>480.02884356241128</v>
      </c>
      <c r="BI116" s="60">
        <f t="shared" si="163"/>
        <v>40.329168527918789</v>
      </c>
      <c r="BJ116" s="80">
        <f t="shared" si="164"/>
        <v>537.84070664718286</v>
      </c>
      <c r="BK116" s="102">
        <f t="shared" si="168"/>
        <v>455.22640491774121</v>
      </c>
      <c r="BL116" s="43"/>
      <c r="BM116" s="43"/>
      <c r="BN116" s="33"/>
      <c r="BR116" s="127"/>
    </row>
    <row r="117" spans="1:70" ht="47.25" x14ac:dyDescent="0.25">
      <c r="A117" s="37" t="s">
        <v>400</v>
      </c>
      <c r="B117" s="156" t="s">
        <v>341</v>
      </c>
      <c r="C117" s="120" t="s">
        <v>344</v>
      </c>
      <c r="D117" s="156" t="s">
        <v>311</v>
      </c>
      <c r="E117" s="156">
        <v>4</v>
      </c>
      <c r="F117" s="156">
        <v>63.25</v>
      </c>
      <c r="G117" s="156">
        <v>0</v>
      </c>
      <c r="H117" s="156">
        <f t="shared" si="152"/>
        <v>0</v>
      </c>
      <c r="I117" s="156"/>
      <c r="J117" s="156">
        <f t="shared" si="153"/>
        <v>0</v>
      </c>
      <c r="K117" s="156">
        <v>0</v>
      </c>
      <c r="L117" s="156">
        <f t="shared" si="154"/>
        <v>0</v>
      </c>
      <c r="M117" s="156">
        <v>0</v>
      </c>
      <c r="N117" s="156">
        <v>25</v>
      </c>
      <c r="O117" s="156">
        <f t="shared" si="155"/>
        <v>15.8125</v>
      </c>
      <c r="P117" s="156"/>
      <c r="Q117" s="156"/>
      <c r="R117" s="156">
        <v>40</v>
      </c>
      <c r="S117" s="156">
        <f t="shared" si="143"/>
        <v>31.625</v>
      </c>
      <c r="T117" s="156">
        <v>30</v>
      </c>
      <c r="U117" s="156">
        <f t="shared" si="144"/>
        <v>33.206249999999997</v>
      </c>
      <c r="V117" s="156">
        <v>30</v>
      </c>
      <c r="W117" s="156">
        <f t="shared" si="145"/>
        <v>33.206249999999997</v>
      </c>
      <c r="X117" s="60">
        <f t="shared" si="146"/>
        <v>177.10000000000002</v>
      </c>
      <c r="Y117" s="60">
        <f t="shared" si="147"/>
        <v>1.5228426395939085</v>
      </c>
      <c r="Z117" s="60">
        <f t="shared" si="169"/>
        <v>10.626000000000001</v>
      </c>
      <c r="AA117" s="60">
        <f t="shared" si="149"/>
        <v>12.397000000000002</v>
      </c>
      <c r="AB117" s="60">
        <f t="shared" si="150"/>
        <v>201.64584263959392</v>
      </c>
      <c r="AC117" s="60">
        <f t="shared" si="151"/>
        <v>60.897044477157365</v>
      </c>
      <c r="AD117" s="60">
        <f t="shared" si="156"/>
        <v>24.802438644670051</v>
      </c>
      <c r="AE117" s="60">
        <f t="shared" si="157"/>
        <v>17.482694556852792</v>
      </c>
      <c r="AF117" s="60" t="s">
        <v>200</v>
      </c>
      <c r="AG117" s="159">
        <v>30.677966000000001</v>
      </c>
      <c r="AH117" s="60">
        <v>10.199999999999999</v>
      </c>
      <c r="AI117" s="60">
        <v>13.973999999999998</v>
      </c>
      <c r="AJ117" s="60">
        <v>14.177999999999999</v>
      </c>
      <c r="AK117" s="60">
        <v>15.095999999999997</v>
      </c>
      <c r="AL117" s="60">
        <f t="shared" si="158"/>
        <v>14.305499999999997</v>
      </c>
      <c r="AM117" s="60">
        <f t="shared" si="170"/>
        <v>100.93863780098997</v>
      </c>
      <c r="AN117" s="60"/>
      <c r="AO117" s="60"/>
      <c r="AP117" s="60"/>
      <c r="AQ117" s="60">
        <f t="shared" si="160"/>
        <v>0</v>
      </c>
      <c r="AR117" s="60">
        <f t="shared" si="161"/>
        <v>100.93863780098997</v>
      </c>
      <c r="AS117" s="60"/>
      <c r="AT117" s="60"/>
      <c r="AU117" s="60"/>
      <c r="AV117" s="60">
        <f t="shared" si="171"/>
        <v>0</v>
      </c>
      <c r="AW117" s="60">
        <v>50000</v>
      </c>
      <c r="AX117" s="60">
        <v>23</v>
      </c>
      <c r="AY117" s="60" t="s">
        <v>201</v>
      </c>
      <c r="AZ117" s="60">
        <v>7057</v>
      </c>
      <c r="BA117" s="80">
        <v>4</v>
      </c>
      <c r="BB117" s="60">
        <f t="shared" si="172"/>
        <v>12.984879999999999</v>
      </c>
      <c r="BC117" s="60">
        <v>37.44</v>
      </c>
      <c r="BD117" s="60">
        <v>34.82</v>
      </c>
      <c r="BE117" s="60">
        <v>0</v>
      </c>
      <c r="BF117" s="60">
        <v>6.5</v>
      </c>
      <c r="BG117" s="60"/>
      <c r="BH117" s="80">
        <f t="shared" si="167"/>
        <v>480.02884356241128</v>
      </c>
      <c r="BI117" s="60">
        <f t="shared" si="163"/>
        <v>40.329168527918789</v>
      </c>
      <c r="BJ117" s="80">
        <f t="shared" si="164"/>
        <v>537.84070664718286</v>
      </c>
      <c r="BK117" s="102">
        <f t="shared" si="168"/>
        <v>455.22640491774121</v>
      </c>
      <c r="BL117" s="43"/>
      <c r="BM117" s="43"/>
      <c r="BN117" s="33"/>
      <c r="BR117" s="127"/>
    </row>
    <row r="118" spans="1:70" ht="47.25" x14ac:dyDescent="0.25">
      <c r="A118" s="92">
        <v>102</v>
      </c>
      <c r="B118" s="156" t="s">
        <v>341</v>
      </c>
      <c r="C118" s="120" t="s">
        <v>345</v>
      </c>
      <c r="D118" s="156" t="s">
        <v>311</v>
      </c>
      <c r="E118" s="156">
        <v>4</v>
      </c>
      <c r="F118" s="156">
        <v>63.25</v>
      </c>
      <c r="G118" s="156">
        <v>0</v>
      </c>
      <c r="H118" s="156">
        <f t="shared" si="152"/>
        <v>0</v>
      </c>
      <c r="I118" s="156"/>
      <c r="J118" s="156">
        <f t="shared" si="153"/>
        <v>0</v>
      </c>
      <c r="K118" s="156">
        <v>0</v>
      </c>
      <c r="L118" s="156">
        <f t="shared" si="154"/>
        <v>0</v>
      </c>
      <c r="M118" s="156">
        <v>0</v>
      </c>
      <c r="N118" s="156">
        <v>25</v>
      </c>
      <c r="O118" s="156">
        <f t="shared" si="155"/>
        <v>15.8125</v>
      </c>
      <c r="P118" s="156"/>
      <c r="Q118" s="156"/>
      <c r="R118" s="156">
        <v>40</v>
      </c>
      <c r="S118" s="156">
        <f t="shared" si="143"/>
        <v>31.625</v>
      </c>
      <c r="T118" s="156">
        <v>30</v>
      </c>
      <c r="U118" s="156">
        <f t="shared" si="144"/>
        <v>33.206249999999997</v>
      </c>
      <c r="V118" s="156">
        <v>30</v>
      </c>
      <c r="W118" s="156">
        <f t="shared" si="145"/>
        <v>33.206249999999997</v>
      </c>
      <c r="X118" s="60">
        <f t="shared" si="146"/>
        <v>177.10000000000002</v>
      </c>
      <c r="Y118" s="60">
        <f t="shared" si="147"/>
        <v>1.5228426395939085</v>
      </c>
      <c r="Z118" s="60">
        <f t="shared" si="169"/>
        <v>10.626000000000001</v>
      </c>
      <c r="AA118" s="60">
        <f t="shared" si="149"/>
        <v>12.397000000000002</v>
      </c>
      <c r="AB118" s="60">
        <f t="shared" si="150"/>
        <v>201.64584263959392</v>
      </c>
      <c r="AC118" s="60">
        <f t="shared" si="151"/>
        <v>60.897044477157365</v>
      </c>
      <c r="AD118" s="60">
        <f t="shared" si="156"/>
        <v>24.802438644670051</v>
      </c>
      <c r="AE118" s="60">
        <f t="shared" si="157"/>
        <v>17.482694556852792</v>
      </c>
      <c r="AF118" s="60" t="s">
        <v>200</v>
      </c>
      <c r="AG118" s="159">
        <v>30.677966000000001</v>
      </c>
      <c r="AH118" s="60">
        <v>10.199999999999999</v>
      </c>
      <c r="AI118" s="60">
        <v>13.973999999999998</v>
      </c>
      <c r="AJ118" s="60">
        <v>14.177999999999999</v>
      </c>
      <c r="AK118" s="60">
        <v>15.095999999999997</v>
      </c>
      <c r="AL118" s="60">
        <f t="shared" si="158"/>
        <v>14.305499999999997</v>
      </c>
      <c r="AM118" s="60">
        <f t="shared" si="170"/>
        <v>100.93863780098997</v>
      </c>
      <c r="AN118" s="60"/>
      <c r="AO118" s="60"/>
      <c r="AP118" s="60"/>
      <c r="AQ118" s="60">
        <f t="shared" si="160"/>
        <v>0</v>
      </c>
      <c r="AR118" s="60">
        <f t="shared" si="161"/>
        <v>100.93863780098997</v>
      </c>
      <c r="AS118" s="60"/>
      <c r="AT118" s="60"/>
      <c r="AU118" s="60"/>
      <c r="AV118" s="60">
        <f t="shared" si="171"/>
        <v>0</v>
      </c>
      <c r="AW118" s="60">
        <v>50000</v>
      </c>
      <c r="AX118" s="60">
        <v>23</v>
      </c>
      <c r="AY118" s="60" t="s">
        <v>201</v>
      </c>
      <c r="AZ118" s="60">
        <v>7057</v>
      </c>
      <c r="BA118" s="80">
        <v>4</v>
      </c>
      <c r="BB118" s="60">
        <f t="shared" si="172"/>
        <v>12.984879999999999</v>
      </c>
      <c r="BC118" s="60">
        <v>37.44</v>
      </c>
      <c r="BD118" s="60">
        <v>34.82</v>
      </c>
      <c r="BE118" s="60">
        <v>0</v>
      </c>
      <c r="BF118" s="60">
        <v>6.5</v>
      </c>
      <c r="BG118" s="60"/>
      <c r="BH118" s="80">
        <f t="shared" si="167"/>
        <v>480.02884356241128</v>
      </c>
      <c r="BI118" s="60">
        <f t="shared" si="163"/>
        <v>40.329168527918789</v>
      </c>
      <c r="BJ118" s="80">
        <f t="shared" si="164"/>
        <v>537.84070664718286</v>
      </c>
      <c r="BK118" s="102">
        <f t="shared" si="168"/>
        <v>455.22640491774121</v>
      </c>
      <c r="BL118" s="43"/>
      <c r="BM118" s="43"/>
      <c r="BN118" s="33"/>
      <c r="BR118" s="127"/>
    </row>
    <row r="119" spans="1:70" ht="47.25" x14ac:dyDescent="0.25">
      <c r="A119" s="37" t="s">
        <v>401</v>
      </c>
      <c r="B119" s="156" t="s">
        <v>341</v>
      </c>
      <c r="C119" s="120" t="s">
        <v>346</v>
      </c>
      <c r="D119" s="156" t="s">
        <v>311</v>
      </c>
      <c r="E119" s="156">
        <v>4</v>
      </c>
      <c r="F119" s="156">
        <v>63.25</v>
      </c>
      <c r="G119" s="156">
        <v>0</v>
      </c>
      <c r="H119" s="156">
        <f t="shared" si="152"/>
        <v>0</v>
      </c>
      <c r="I119" s="156"/>
      <c r="J119" s="156">
        <f t="shared" si="153"/>
        <v>0</v>
      </c>
      <c r="K119" s="156">
        <v>0</v>
      </c>
      <c r="L119" s="156">
        <f t="shared" si="154"/>
        <v>0</v>
      </c>
      <c r="M119" s="156">
        <v>0</v>
      </c>
      <c r="N119" s="156">
        <v>25</v>
      </c>
      <c r="O119" s="156">
        <f t="shared" si="155"/>
        <v>15.8125</v>
      </c>
      <c r="P119" s="156"/>
      <c r="Q119" s="156"/>
      <c r="R119" s="156">
        <v>40</v>
      </c>
      <c r="S119" s="156">
        <f t="shared" si="143"/>
        <v>31.625</v>
      </c>
      <c r="T119" s="156">
        <v>30</v>
      </c>
      <c r="U119" s="156">
        <f t="shared" si="144"/>
        <v>33.206249999999997</v>
      </c>
      <c r="V119" s="156">
        <v>30</v>
      </c>
      <c r="W119" s="156">
        <f t="shared" si="145"/>
        <v>33.206249999999997</v>
      </c>
      <c r="X119" s="60">
        <f t="shared" si="146"/>
        <v>177.10000000000002</v>
      </c>
      <c r="Y119" s="60">
        <f t="shared" si="147"/>
        <v>1.5228426395939085</v>
      </c>
      <c r="Z119" s="60">
        <f t="shared" si="169"/>
        <v>10.626000000000001</v>
      </c>
      <c r="AA119" s="60">
        <f t="shared" si="149"/>
        <v>12.397000000000002</v>
      </c>
      <c r="AB119" s="60">
        <f t="shared" si="150"/>
        <v>201.64584263959392</v>
      </c>
      <c r="AC119" s="60">
        <f t="shared" si="151"/>
        <v>60.897044477157365</v>
      </c>
      <c r="AD119" s="60">
        <f t="shared" si="156"/>
        <v>24.802438644670051</v>
      </c>
      <c r="AE119" s="60">
        <f t="shared" si="157"/>
        <v>17.482694556852792</v>
      </c>
      <c r="AF119" s="60" t="s">
        <v>200</v>
      </c>
      <c r="AG119" s="159">
        <v>30.677966000000001</v>
      </c>
      <c r="AH119" s="60">
        <v>10.199999999999999</v>
      </c>
      <c r="AI119" s="60">
        <v>13.973999999999998</v>
      </c>
      <c r="AJ119" s="60">
        <v>14.177999999999999</v>
      </c>
      <c r="AK119" s="60">
        <v>15.095999999999997</v>
      </c>
      <c r="AL119" s="60">
        <f t="shared" si="158"/>
        <v>14.305499999999997</v>
      </c>
      <c r="AM119" s="60">
        <f t="shared" si="170"/>
        <v>100.93863780098997</v>
      </c>
      <c r="AN119" s="60"/>
      <c r="AO119" s="60"/>
      <c r="AP119" s="60"/>
      <c r="AQ119" s="60">
        <f t="shared" si="160"/>
        <v>0</v>
      </c>
      <c r="AR119" s="60">
        <f t="shared" si="161"/>
        <v>100.93863780098997</v>
      </c>
      <c r="AS119" s="60"/>
      <c r="AT119" s="60"/>
      <c r="AU119" s="60"/>
      <c r="AV119" s="60">
        <f t="shared" si="171"/>
        <v>0</v>
      </c>
      <c r="AW119" s="60">
        <v>50000</v>
      </c>
      <c r="AX119" s="60">
        <v>23</v>
      </c>
      <c r="AY119" s="60" t="s">
        <v>201</v>
      </c>
      <c r="AZ119" s="60">
        <v>7057</v>
      </c>
      <c r="BA119" s="80">
        <v>4</v>
      </c>
      <c r="BB119" s="60">
        <f t="shared" si="172"/>
        <v>12.984879999999999</v>
      </c>
      <c r="BC119" s="60">
        <v>37.44</v>
      </c>
      <c r="BD119" s="60">
        <v>34.82</v>
      </c>
      <c r="BE119" s="60">
        <v>0</v>
      </c>
      <c r="BF119" s="60">
        <v>6.5</v>
      </c>
      <c r="BG119" s="60"/>
      <c r="BH119" s="80">
        <f t="shared" si="167"/>
        <v>480.02884356241128</v>
      </c>
      <c r="BI119" s="60">
        <f t="shared" si="163"/>
        <v>40.329168527918789</v>
      </c>
      <c r="BJ119" s="80">
        <f t="shared" si="164"/>
        <v>537.84070664718286</v>
      </c>
      <c r="BK119" s="102">
        <f t="shared" si="168"/>
        <v>455.22640491774121</v>
      </c>
      <c r="BL119" s="43"/>
      <c r="BM119" s="43"/>
      <c r="BN119" s="33"/>
      <c r="BR119" s="127"/>
    </row>
    <row r="120" spans="1:70" ht="47.25" x14ac:dyDescent="0.25">
      <c r="A120" s="37" t="s">
        <v>402</v>
      </c>
      <c r="B120" s="156" t="s">
        <v>341</v>
      </c>
      <c r="C120" s="120" t="s">
        <v>347</v>
      </c>
      <c r="D120" s="156" t="s">
        <v>311</v>
      </c>
      <c r="E120" s="156">
        <v>4</v>
      </c>
      <c r="F120" s="156">
        <v>63.25</v>
      </c>
      <c r="G120" s="156">
        <v>0</v>
      </c>
      <c r="H120" s="156">
        <f t="shared" si="152"/>
        <v>0</v>
      </c>
      <c r="I120" s="156"/>
      <c r="J120" s="156">
        <f t="shared" si="153"/>
        <v>0</v>
      </c>
      <c r="K120" s="156">
        <v>0</v>
      </c>
      <c r="L120" s="156">
        <f t="shared" si="154"/>
        <v>0</v>
      </c>
      <c r="M120" s="156">
        <v>0</v>
      </c>
      <c r="N120" s="156">
        <v>25</v>
      </c>
      <c r="O120" s="156">
        <f t="shared" si="155"/>
        <v>15.8125</v>
      </c>
      <c r="P120" s="156"/>
      <c r="Q120" s="156"/>
      <c r="R120" s="156">
        <v>40</v>
      </c>
      <c r="S120" s="156">
        <f t="shared" si="143"/>
        <v>31.625</v>
      </c>
      <c r="T120" s="156">
        <v>30</v>
      </c>
      <c r="U120" s="156">
        <f t="shared" si="144"/>
        <v>33.206249999999997</v>
      </c>
      <c r="V120" s="156">
        <v>30</v>
      </c>
      <c r="W120" s="156">
        <f t="shared" si="145"/>
        <v>33.206249999999997</v>
      </c>
      <c r="X120" s="60">
        <f t="shared" si="146"/>
        <v>177.10000000000002</v>
      </c>
      <c r="Y120" s="60">
        <f t="shared" si="147"/>
        <v>1.5228426395939085</v>
      </c>
      <c r="Z120" s="60">
        <f t="shared" si="169"/>
        <v>10.626000000000001</v>
      </c>
      <c r="AA120" s="60">
        <f t="shared" si="149"/>
        <v>12.397000000000002</v>
      </c>
      <c r="AB120" s="60">
        <f t="shared" si="150"/>
        <v>201.64584263959392</v>
      </c>
      <c r="AC120" s="60">
        <f t="shared" si="151"/>
        <v>60.897044477157365</v>
      </c>
      <c r="AD120" s="60">
        <f t="shared" si="156"/>
        <v>24.802438644670051</v>
      </c>
      <c r="AE120" s="60">
        <f t="shared" si="157"/>
        <v>17.482694556852792</v>
      </c>
      <c r="AF120" s="60" t="s">
        <v>200</v>
      </c>
      <c r="AG120" s="159">
        <v>30.677966000000001</v>
      </c>
      <c r="AH120" s="60">
        <v>10.199999999999999</v>
      </c>
      <c r="AI120" s="60">
        <v>13.973999999999998</v>
      </c>
      <c r="AJ120" s="60">
        <v>14.177999999999999</v>
      </c>
      <c r="AK120" s="60">
        <v>15.095999999999997</v>
      </c>
      <c r="AL120" s="60">
        <f t="shared" si="158"/>
        <v>14.305499999999997</v>
      </c>
      <c r="AM120" s="60">
        <f t="shared" si="170"/>
        <v>100.93863780098997</v>
      </c>
      <c r="AN120" s="60"/>
      <c r="AO120" s="60"/>
      <c r="AP120" s="60"/>
      <c r="AQ120" s="60">
        <f t="shared" si="160"/>
        <v>0</v>
      </c>
      <c r="AR120" s="60">
        <f t="shared" si="161"/>
        <v>100.93863780098997</v>
      </c>
      <c r="AS120" s="60"/>
      <c r="AT120" s="60"/>
      <c r="AU120" s="60"/>
      <c r="AV120" s="60">
        <f t="shared" si="171"/>
        <v>0</v>
      </c>
      <c r="AW120" s="60">
        <v>50000</v>
      </c>
      <c r="AX120" s="60">
        <v>23</v>
      </c>
      <c r="AY120" s="60" t="s">
        <v>201</v>
      </c>
      <c r="AZ120" s="60">
        <v>7057</v>
      </c>
      <c r="BA120" s="80">
        <v>4</v>
      </c>
      <c r="BB120" s="60">
        <f t="shared" si="172"/>
        <v>12.984879999999999</v>
      </c>
      <c r="BC120" s="60">
        <v>37.44</v>
      </c>
      <c r="BD120" s="60">
        <v>34.82</v>
      </c>
      <c r="BE120" s="60">
        <v>0</v>
      </c>
      <c r="BF120" s="60">
        <v>6.5</v>
      </c>
      <c r="BG120" s="60"/>
      <c r="BH120" s="80">
        <f t="shared" si="167"/>
        <v>480.02884356241128</v>
      </c>
      <c r="BI120" s="60">
        <f t="shared" si="163"/>
        <v>40.329168527918789</v>
      </c>
      <c r="BJ120" s="80">
        <f t="shared" si="164"/>
        <v>537.84070664718286</v>
      </c>
      <c r="BK120" s="102">
        <f t="shared" si="168"/>
        <v>455.22640491774121</v>
      </c>
      <c r="BL120" s="43"/>
      <c r="BM120" s="43"/>
      <c r="BN120" s="33"/>
      <c r="BR120" s="127"/>
    </row>
    <row r="121" spans="1:70" ht="47.25" x14ac:dyDescent="0.25">
      <c r="A121" s="37" t="s">
        <v>403</v>
      </c>
      <c r="B121" s="156" t="s">
        <v>341</v>
      </c>
      <c r="C121" s="120" t="s">
        <v>348</v>
      </c>
      <c r="D121" s="156" t="s">
        <v>311</v>
      </c>
      <c r="E121" s="156">
        <v>4</v>
      </c>
      <c r="F121" s="156">
        <v>63.25</v>
      </c>
      <c r="G121" s="156">
        <v>0</v>
      </c>
      <c r="H121" s="156">
        <f t="shared" si="152"/>
        <v>0</v>
      </c>
      <c r="I121" s="156"/>
      <c r="J121" s="156">
        <f t="shared" si="153"/>
        <v>0</v>
      </c>
      <c r="K121" s="156">
        <v>0</v>
      </c>
      <c r="L121" s="156">
        <f t="shared" si="154"/>
        <v>0</v>
      </c>
      <c r="M121" s="156">
        <v>0</v>
      </c>
      <c r="N121" s="156">
        <v>25</v>
      </c>
      <c r="O121" s="156">
        <f t="shared" si="155"/>
        <v>15.8125</v>
      </c>
      <c r="P121" s="156"/>
      <c r="Q121" s="156"/>
      <c r="R121" s="156">
        <v>40</v>
      </c>
      <c r="S121" s="156">
        <f t="shared" si="143"/>
        <v>31.625</v>
      </c>
      <c r="T121" s="156">
        <v>30</v>
      </c>
      <c r="U121" s="156">
        <f t="shared" si="144"/>
        <v>33.206249999999997</v>
      </c>
      <c r="V121" s="156">
        <v>30</v>
      </c>
      <c r="W121" s="156">
        <f t="shared" si="145"/>
        <v>33.206249999999997</v>
      </c>
      <c r="X121" s="60">
        <f t="shared" si="146"/>
        <v>177.10000000000002</v>
      </c>
      <c r="Y121" s="60">
        <f t="shared" si="147"/>
        <v>1.5228426395939085</v>
      </c>
      <c r="Z121" s="60">
        <f t="shared" si="169"/>
        <v>10.626000000000001</v>
      </c>
      <c r="AA121" s="60">
        <f t="shared" si="149"/>
        <v>12.397000000000002</v>
      </c>
      <c r="AB121" s="60">
        <f t="shared" si="150"/>
        <v>201.64584263959392</v>
      </c>
      <c r="AC121" s="60">
        <f t="shared" si="151"/>
        <v>60.897044477157365</v>
      </c>
      <c r="AD121" s="60">
        <f t="shared" si="156"/>
        <v>24.802438644670051</v>
      </c>
      <c r="AE121" s="60">
        <f t="shared" si="157"/>
        <v>17.482694556852792</v>
      </c>
      <c r="AF121" s="60" t="s">
        <v>200</v>
      </c>
      <c r="AG121" s="159">
        <v>30.677966000000001</v>
      </c>
      <c r="AH121" s="60">
        <v>10.199999999999999</v>
      </c>
      <c r="AI121" s="60">
        <v>13.973999999999998</v>
      </c>
      <c r="AJ121" s="60">
        <v>14.177999999999999</v>
      </c>
      <c r="AK121" s="60">
        <v>15.095999999999997</v>
      </c>
      <c r="AL121" s="60">
        <f t="shared" si="158"/>
        <v>14.305499999999997</v>
      </c>
      <c r="AM121" s="60">
        <f t="shared" si="170"/>
        <v>100.93863780098997</v>
      </c>
      <c r="AN121" s="60"/>
      <c r="AO121" s="60"/>
      <c r="AP121" s="60"/>
      <c r="AQ121" s="60">
        <f t="shared" si="160"/>
        <v>0</v>
      </c>
      <c r="AR121" s="60">
        <f t="shared" si="161"/>
        <v>100.93863780098997</v>
      </c>
      <c r="AS121" s="60"/>
      <c r="AT121" s="60"/>
      <c r="AU121" s="60"/>
      <c r="AV121" s="60">
        <f t="shared" si="171"/>
        <v>0</v>
      </c>
      <c r="AW121" s="60">
        <v>50000</v>
      </c>
      <c r="AX121" s="60">
        <v>23</v>
      </c>
      <c r="AY121" s="60" t="s">
        <v>201</v>
      </c>
      <c r="AZ121" s="60">
        <v>7057</v>
      </c>
      <c r="BA121" s="80">
        <v>4</v>
      </c>
      <c r="BB121" s="60">
        <f t="shared" si="172"/>
        <v>12.984879999999999</v>
      </c>
      <c r="BC121" s="60">
        <v>37.44</v>
      </c>
      <c r="BD121" s="60">
        <v>34.82</v>
      </c>
      <c r="BE121" s="60">
        <v>0</v>
      </c>
      <c r="BF121" s="60">
        <v>6.5</v>
      </c>
      <c r="BG121" s="60"/>
      <c r="BH121" s="80">
        <f t="shared" si="167"/>
        <v>480.02884356241128</v>
      </c>
      <c r="BI121" s="60">
        <f t="shared" si="163"/>
        <v>40.329168527918789</v>
      </c>
      <c r="BJ121" s="80">
        <f t="shared" si="164"/>
        <v>537.84070664718286</v>
      </c>
      <c r="BK121" s="102">
        <f t="shared" si="168"/>
        <v>455.22640491774121</v>
      </c>
      <c r="BL121" s="43"/>
      <c r="BM121" s="43"/>
      <c r="BN121" s="33"/>
      <c r="BR121" s="127"/>
    </row>
    <row r="122" spans="1:70" ht="47.25" x14ac:dyDescent="0.25">
      <c r="A122" s="37" t="s">
        <v>404</v>
      </c>
      <c r="B122" s="156" t="s">
        <v>341</v>
      </c>
      <c r="C122" s="120" t="s">
        <v>349</v>
      </c>
      <c r="D122" s="156" t="s">
        <v>311</v>
      </c>
      <c r="E122" s="156">
        <v>4</v>
      </c>
      <c r="F122" s="156">
        <v>63.25</v>
      </c>
      <c r="G122" s="156">
        <v>0</v>
      </c>
      <c r="H122" s="156">
        <f t="shared" si="152"/>
        <v>0</v>
      </c>
      <c r="I122" s="156"/>
      <c r="J122" s="156">
        <f t="shared" si="153"/>
        <v>0</v>
      </c>
      <c r="K122" s="156">
        <v>0</v>
      </c>
      <c r="L122" s="156">
        <f t="shared" si="154"/>
        <v>0</v>
      </c>
      <c r="M122" s="156">
        <v>0</v>
      </c>
      <c r="N122" s="156">
        <v>25</v>
      </c>
      <c r="O122" s="156">
        <f t="shared" si="155"/>
        <v>15.8125</v>
      </c>
      <c r="P122" s="156"/>
      <c r="Q122" s="156"/>
      <c r="R122" s="156">
        <v>40</v>
      </c>
      <c r="S122" s="156">
        <f t="shared" si="143"/>
        <v>31.625</v>
      </c>
      <c r="T122" s="156">
        <v>30</v>
      </c>
      <c r="U122" s="156">
        <f t="shared" si="144"/>
        <v>33.206249999999997</v>
      </c>
      <c r="V122" s="156">
        <v>30</v>
      </c>
      <c r="W122" s="156">
        <f t="shared" si="145"/>
        <v>33.206249999999997</v>
      </c>
      <c r="X122" s="60">
        <f t="shared" si="146"/>
        <v>177.10000000000002</v>
      </c>
      <c r="Y122" s="60">
        <f t="shared" si="147"/>
        <v>1.5228426395939085</v>
      </c>
      <c r="Z122" s="60">
        <f t="shared" si="169"/>
        <v>10.626000000000001</v>
      </c>
      <c r="AA122" s="60">
        <f t="shared" si="149"/>
        <v>12.397000000000002</v>
      </c>
      <c r="AB122" s="60">
        <f t="shared" si="150"/>
        <v>201.64584263959392</v>
      </c>
      <c r="AC122" s="60">
        <f t="shared" si="151"/>
        <v>60.897044477157365</v>
      </c>
      <c r="AD122" s="60">
        <f t="shared" si="156"/>
        <v>24.802438644670051</v>
      </c>
      <c r="AE122" s="60">
        <f t="shared" si="157"/>
        <v>17.482694556852792</v>
      </c>
      <c r="AF122" s="60" t="s">
        <v>200</v>
      </c>
      <c r="AG122" s="159">
        <v>30.677966000000001</v>
      </c>
      <c r="AH122" s="60">
        <v>10.199999999999999</v>
      </c>
      <c r="AI122" s="60">
        <v>13.973999999999998</v>
      </c>
      <c r="AJ122" s="60">
        <v>14.177999999999999</v>
      </c>
      <c r="AK122" s="60">
        <v>15.095999999999997</v>
      </c>
      <c r="AL122" s="60">
        <f t="shared" si="158"/>
        <v>14.305499999999997</v>
      </c>
      <c r="AM122" s="60">
        <f t="shared" si="170"/>
        <v>100.93863780098997</v>
      </c>
      <c r="AN122" s="60"/>
      <c r="AO122" s="60"/>
      <c r="AP122" s="60"/>
      <c r="AQ122" s="60">
        <f t="shared" si="160"/>
        <v>0</v>
      </c>
      <c r="AR122" s="60">
        <f t="shared" si="161"/>
        <v>100.93863780098997</v>
      </c>
      <c r="AS122" s="60"/>
      <c r="AT122" s="60"/>
      <c r="AU122" s="60"/>
      <c r="AV122" s="60">
        <f t="shared" si="171"/>
        <v>0</v>
      </c>
      <c r="AW122" s="60">
        <v>50000</v>
      </c>
      <c r="AX122" s="60">
        <v>23</v>
      </c>
      <c r="AY122" s="60" t="s">
        <v>201</v>
      </c>
      <c r="AZ122" s="60">
        <v>7057</v>
      </c>
      <c r="BA122" s="80">
        <v>4</v>
      </c>
      <c r="BB122" s="60">
        <f t="shared" si="172"/>
        <v>12.984879999999999</v>
      </c>
      <c r="BC122" s="60">
        <v>37.44</v>
      </c>
      <c r="BD122" s="60">
        <v>34.82</v>
      </c>
      <c r="BE122" s="60">
        <v>0</v>
      </c>
      <c r="BF122" s="60">
        <v>6.5</v>
      </c>
      <c r="BG122" s="60"/>
      <c r="BH122" s="80">
        <f t="shared" si="167"/>
        <v>480.02884356241128</v>
      </c>
      <c r="BI122" s="60">
        <f t="shared" si="163"/>
        <v>40.329168527918789</v>
      </c>
      <c r="BJ122" s="80">
        <f t="shared" si="164"/>
        <v>537.84070664718286</v>
      </c>
      <c r="BK122" s="102">
        <f t="shared" si="168"/>
        <v>455.22640491774121</v>
      </c>
      <c r="BL122" s="43"/>
      <c r="BM122" s="43"/>
      <c r="BN122" s="33"/>
      <c r="BR122" s="127"/>
    </row>
    <row r="123" spans="1:70" ht="47.25" x14ac:dyDescent="0.25">
      <c r="A123" s="37" t="s">
        <v>405</v>
      </c>
      <c r="B123" s="156" t="s">
        <v>341</v>
      </c>
      <c r="C123" s="120" t="s">
        <v>350</v>
      </c>
      <c r="D123" s="156" t="s">
        <v>311</v>
      </c>
      <c r="E123" s="156">
        <v>4</v>
      </c>
      <c r="F123" s="156">
        <v>63.25</v>
      </c>
      <c r="G123" s="156">
        <v>0</v>
      </c>
      <c r="H123" s="156">
        <f t="shared" si="152"/>
        <v>0</v>
      </c>
      <c r="I123" s="156"/>
      <c r="J123" s="156">
        <f t="shared" si="153"/>
        <v>0</v>
      </c>
      <c r="K123" s="156">
        <v>0</v>
      </c>
      <c r="L123" s="156">
        <f t="shared" si="154"/>
        <v>0</v>
      </c>
      <c r="M123" s="156">
        <v>0</v>
      </c>
      <c r="N123" s="156">
        <v>25</v>
      </c>
      <c r="O123" s="156">
        <f t="shared" si="155"/>
        <v>15.8125</v>
      </c>
      <c r="P123" s="156"/>
      <c r="Q123" s="156"/>
      <c r="R123" s="156">
        <v>40</v>
      </c>
      <c r="S123" s="156">
        <f t="shared" si="143"/>
        <v>31.625</v>
      </c>
      <c r="T123" s="156">
        <v>30</v>
      </c>
      <c r="U123" s="156">
        <f t="shared" si="144"/>
        <v>33.206249999999997</v>
      </c>
      <c r="V123" s="156">
        <v>30</v>
      </c>
      <c r="W123" s="156">
        <f t="shared" si="145"/>
        <v>33.206249999999997</v>
      </c>
      <c r="X123" s="60">
        <f t="shared" si="146"/>
        <v>177.10000000000002</v>
      </c>
      <c r="Y123" s="60">
        <f t="shared" si="147"/>
        <v>1.5228426395939085</v>
      </c>
      <c r="Z123" s="60">
        <f t="shared" si="169"/>
        <v>10.626000000000001</v>
      </c>
      <c r="AA123" s="60">
        <f t="shared" si="149"/>
        <v>12.397000000000002</v>
      </c>
      <c r="AB123" s="60">
        <f t="shared" si="150"/>
        <v>201.64584263959392</v>
      </c>
      <c r="AC123" s="60">
        <f t="shared" si="151"/>
        <v>60.897044477157365</v>
      </c>
      <c r="AD123" s="60">
        <f t="shared" si="156"/>
        <v>24.802438644670051</v>
      </c>
      <c r="AE123" s="60">
        <f t="shared" si="157"/>
        <v>17.482694556852792</v>
      </c>
      <c r="AF123" s="60" t="s">
        <v>200</v>
      </c>
      <c r="AG123" s="159">
        <v>30.677966000000001</v>
      </c>
      <c r="AH123" s="60">
        <v>10.199999999999999</v>
      </c>
      <c r="AI123" s="60">
        <v>13.973999999999998</v>
      </c>
      <c r="AJ123" s="60">
        <v>14.177999999999999</v>
      </c>
      <c r="AK123" s="60">
        <v>15.095999999999997</v>
      </c>
      <c r="AL123" s="60">
        <f t="shared" si="158"/>
        <v>14.305499999999997</v>
      </c>
      <c r="AM123" s="60">
        <f t="shared" si="170"/>
        <v>100.93863780098997</v>
      </c>
      <c r="AN123" s="60"/>
      <c r="AO123" s="60"/>
      <c r="AP123" s="60"/>
      <c r="AQ123" s="60">
        <f t="shared" si="160"/>
        <v>0</v>
      </c>
      <c r="AR123" s="60">
        <f t="shared" si="161"/>
        <v>100.93863780098997</v>
      </c>
      <c r="AS123" s="60"/>
      <c r="AT123" s="60"/>
      <c r="AU123" s="60"/>
      <c r="AV123" s="60">
        <f t="shared" si="171"/>
        <v>0</v>
      </c>
      <c r="AW123" s="60">
        <v>50000</v>
      </c>
      <c r="AX123" s="60">
        <v>23</v>
      </c>
      <c r="AY123" s="60" t="s">
        <v>201</v>
      </c>
      <c r="AZ123" s="60">
        <v>7057</v>
      </c>
      <c r="BA123" s="80">
        <v>4</v>
      </c>
      <c r="BB123" s="60">
        <f t="shared" si="172"/>
        <v>12.984879999999999</v>
      </c>
      <c r="BC123" s="60">
        <v>37.44</v>
      </c>
      <c r="BD123" s="60">
        <v>34.82</v>
      </c>
      <c r="BE123" s="60">
        <v>0</v>
      </c>
      <c r="BF123" s="60">
        <v>6.5</v>
      </c>
      <c r="BG123" s="60"/>
      <c r="BH123" s="80">
        <f t="shared" si="167"/>
        <v>480.02884356241128</v>
      </c>
      <c r="BI123" s="60">
        <f t="shared" si="163"/>
        <v>40.329168527918789</v>
      </c>
      <c r="BJ123" s="80">
        <f t="shared" si="164"/>
        <v>537.84070664718286</v>
      </c>
      <c r="BK123" s="102">
        <f t="shared" si="168"/>
        <v>455.22640491774121</v>
      </c>
      <c r="BL123" s="43"/>
      <c r="BM123" s="43"/>
      <c r="BN123" s="33"/>
      <c r="BR123" s="127"/>
    </row>
    <row r="124" spans="1:70" ht="47.25" x14ac:dyDescent="0.25">
      <c r="A124" s="37" t="s">
        <v>406</v>
      </c>
      <c r="B124" s="156" t="s">
        <v>341</v>
      </c>
      <c r="C124" s="120" t="s">
        <v>351</v>
      </c>
      <c r="D124" s="156" t="s">
        <v>311</v>
      </c>
      <c r="E124" s="156">
        <v>4</v>
      </c>
      <c r="F124" s="156">
        <v>63.25</v>
      </c>
      <c r="G124" s="156">
        <v>0</v>
      </c>
      <c r="H124" s="156">
        <f t="shared" si="152"/>
        <v>0</v>
      </c>
      <c r="I124" s="156"/>
      <c r="J124" s="156">
        <f t="shared" si="153"/>
        <v>0</v>
      </c>
      <c r="K124" s="156">
        <v>0</v>
      </c>
      <c r="L124" s="156">
        <f t="shared" si="154"/>
        <v>0</v>
      </c>
      <c r="M124" s="156">
        <v>0</v>
      </c>
      <c r="N124" s="156">
        <v>25</v>
      </c>
      <c r="O124" s="156">
        <f t="shared" si="155"/>
        <v>15.8125</v>
      </c>
      <c r="P124" s="156"/>
      <c r="Q124" s="156"/>
      <c r="R124" s="156">
        <v>40</v>
      </c>
      <c r="S124" s="156">
        <f t="shared" si="143"/>
        <v>31.625</v>
      </c>
      <c r="T124" s="156">
        <v>30</v>
      </c>
      <c r="U124" s="156">
        <f t="shared" si="144"/>
        <v>33.206249999999997</v>
      </c>
      <c r="V124" s="156">
        <v>30</v>
      </c>
      <c r="W124" s="156">
        <f t="shared" si="145"/>
        <v>33.206249999999997</v>
      </c>
      <c r="X124" s="60">
        <f t="shared" si="146"/>
        <v>177.10000000000002</v>
      </c>
      <c r="Y124" s="60">
        <f t="shared" si="147"/>
        <v>1.5228426395939085</v>
      </c>
      <c r="Z124" s="60">
        <f t="shared" si="169"/>
        <v>10.626000000000001</v>
      </c>
      <c r="AA124" s="60">
        <f t="shared" si="149"/>
        <v>12.397000000000002</v>
      </c>
      <c r="AB124" s="60">
        <f t="shared" si="150"/>
        <v>201.64584263959392</v>
      </c>
      <c r="AC124" s="60">
        <f t="shared" si="151"/>
        <v>60.897044477157365</v>
      </c>
      <c r="AD124" s="60">
        <f t="shared" si="156"/>
        <v>24.802438644670051</v>
      </c>
      <c r="AE124" s="60">
        <f t="shared" si="157"/>
        <v>17.482694556852792</v>
      </c>
      <c r="AF124" s="60" t="s">
        <v>200</v>
      </c>
      <c r="AG124" s="159">
        <v>30.677966000000001</v>
      </c>
      <c r="AH124" s="60">
        <v>10.199999999999999</v>
      </c>
      <c r="AI124" s="60">
        <v>13.973999999999998</v>
      </c>
      <c r="AJ124" s="60">
        <v>14.177999999999999</v>
      </c>
      <c r="AK124" s="60">
        <v>15.095999999999997</v>
      </c>
      <c r="AL124" s="60">
        <f t="shared" si="158"/>
        <v>14.305499999999997</v>
      </c>
      <c r="AM124" s="60">
        <f t="shared" si="170"/>
        <v>100.93863780098997</v>
      </c>
      <c r="AN124" s="60"/>
      <c r="AO124" s="60"/>
      <c r="AP124" s="60"/>
      <c r="AQ124" s="60">
        <f t="shared" si="160"/>
        <v>0</v>
      </c>
      <c r="AR124" s="60">
        <f t="shared" si="161"/>
        <v>100.93863780098997</v>
      </c>
      <c r="AS124" s="60"/>
      <c r="AT124" s="60"/>
      <c r="AU124" s="60"/>
      <c r="AV124" s="60">
        <f t="shared" si="171"/>
        <v>0</v>
      </c>
      <c r="AW124" s="60">
        <v>50000</v>
      </c>
      <c r="AX124" s="60">
        <v>23</v>
      </c>
      <c r="AY124" s="60" t="s">
        <v>201</v>
      </c>
      <c r="AZ124" s="60">
        <v>7057</v>
      </c>
      <c r="BA124" s="80">
        <v>4</v>
      </c>
      <c r="BB124" s="60">
        <f t="shared" si="172"/>
        <v>12.984879999999999</v>
      </c>
      <c r="BC124" s="60">
        <v>37.44</v>
      </c>
      <c r="BD124" s="60">
        <v>34.82</v>
      </c>
      <c r="BE124" s="60">
        <v>0</v>
      </c>
      <c r="BF124" s="60">
        <v>6.5</v>
      </c>
      <c r="BG124" s="60"/>
      <c r="BH124" s="80">
        <f t="shared" si="167"/>
        <v>480.02884356241128</v>
      </c>
      <c r="BI124" s="60">
        <f t="shared" si="163"/>
        <v>40.329168527918789</v>
      </c>
      <c r="BJ124" s="80">
        <f t="shared" si="164"/>
        <v>537.84070664718286</v>
      </c>
      <c r="BK124" s="102">
        <f t="shared" si="168"/>
        <v>455.22640491774121</v>
      </c>
      <c r="BL124" s="43"/>
      <c r="BM124" s="43"/>
      <c r="BN124" s="33"/>
      <c r="BR124" s="127"/>
    </row>
    <row r="125" spans="1:70" ht="94.5" x14ac:dyDescent="0.25">
      <c r="A125" s="37" t="s">
        <v>407</v>
      </c>
      <c r="B125" s="156" t="s">
        <v>357</v>
      </c>
      <c r="C125" s="156" t="s">
        <v>358</v>
      </c>
      <c r="D125" s="156" t="s">
        <v>311</v>
      </c>
      <c r="E125" s="156">
        <v>4</v>
      </c>
      <c r="F125" s="156">
        <v>63.25</v>
      </c>
      <c r="G125" s="156">
        <v>0</v>
      </c>
      <c r="H125" s="101">
        <f t="shared" si="152"/>
        <v>0</v>
      </c>
      <c r="I125" s="156"/>
      <c r="J125" s="156">
        <f t="shared" si="153"/>
        <v>0</v>
      </c>
      <c r="K125" s="156"/>
      <c r="L125" s="156">
        <f t="shared" si="154"/>
        <v>0</v>
      </c>
      <c r="M125" s="156"/>
      <c r="N125" s="156">
        <v>25</v>
      </c>
      <c r="O125" s="156">
        <f t="shared" si="155"/>
        <v>15.8125</v>
      </c>
      <c r="P125" s="156"/>
      <c r="Q125" s="156"/>
      <c r="R125" s="156">
        <v>40</v>
      </c>
      <c r="S125" s="156">
        <f t="shared" si="143"/>
        <v>31.625</v>
      </c>
      <c r="T125" s="156">
        <v>30</v>
      </c>
      <c r="U125" s="156">
        <f t="shared" si="144"/>
        <v>33.206249999999997</v>
      </c>
      <c r="V125" s="156">
        <v>30</v>
      </c>
      <c r="W125" s="156">
        <f t="shared" si="145"/>
        <v>33.206249999999997</v>
      </c>
      <c r="X125" s="60">
        <f t="shared" si="146"/>
        <v>177.10000000000002</v>
      </c>
      <c r="Y125" s="60">
        <f t="shared" si="147"/>
        <v>1.5228426395939085</v>
      </c>
      <c r="Z125" s="60">
        <f>X125*0.06</f>
        <v>10.626000000000001</v>
      </c>
      <c r="AA125" s="60">
        <f t="shared" si="149"/>
        <v>12.397000000000002</v>
      </c>
      <c r="AB125" s="60">
        <f t="shared" si="150"/>
        <v>201.64584263959392</v>
      </c>
      <c r="AC125" s="60">
        <f t="shared" si="151"/>
        <v>60.897044477157365</v>
      </c>
      <c r="AD125" s="60">
        <f t="shared" si="156"/>
        <v>24.802438644670051</v>
      </c>
      <c r="AE125" s="60">
        <f t="shared" si="157"/>
        <v>17.482694556852792</v>
      </c>
      <c r="AF125" s="60" t="s">
        <v>87</v>
      </c>
      <c r="AG125" s="159">
        <v>31.567796999999999</v>
      </c>
      <c r="AH125" s="60">
        <v>9.1999999999999993</v>
      </c>
      <c r="AI125" s="60">
        <v>11.683999999999999</v>
      </c>
      <c r="AJ125" s="60">
        <v>11.867999999999997</v>
      </c>
      <c r="AK125" s="60">
        <v>12.695999999999996</v>
      </c>
      <c r="AL125" s="60">
        <f t="shared" si="158"/>
        <v>11.982999999999999</v>
      </c>
      <c r="AM125" s="60">
        <f>AG125*AL125/100*23</f>
        <v>87.003689633729991</v>
      </c>
      <c r="AN125" s="60"/>
      <c r="AO125" s="60"/>
      <c r="AP125" s="60"/>
      <c r="AQ125" s="60">
        <f t="shared" si="160"/>
        <v>0</v>
      </c>
      <c r="AR125" s="60">
        <f t="shared" si="161"/>
        <v>87.003689633729991</v>
      </c>
      <c r="AS125" s="60" t="s">
        <v>266</v>
      </c>
      <c r="AT125" s="60">
        <v>456</v>
      </c>
      <c r="AU125" s="60">
        <v>0.72</v>
      </c>
      <c r="AV125" s="60">
        <f>AL125/100*23*AU125/100*AT125</f>
        <v>9.048794688000001</v>
      </c>
      <c r="AW125" s="60">
        <v>33000</v>
      </c>
      <c r="AX125" s="60">
        <v>23</v>
      </c>
      <c r="AY125" s="60" t="s">
        <v>300</v>
      </c>
      <c r="AZ125" s="60">
        <v>1570</v>
      </c>
      <c r="BA125" s="80">
        <v>4</v>
      </c>
      <c r="BB125" s="60">
        <f>AZ125*BA125/AW125*AX125</f>
        <v>4.376969696969697</v>
      </c>
      <c r="BC125" s="60">
        <v>37.44</v>
      </c>
      <c r="BD125" s="60">
        <v>34.82</v>
      </c>
      <c r="BE125" s="60">
        <v>89.2</v>
      </c>
      <c r="BF125" s="60">
        <v>6.5</v>
      </c>
      <c r="BG125" s="60"/>
      <c r="BH125" s="80">
        <f t="shared" si="167"/>
        <v>555.73477978012102</v>
      </c>
      <c r="BI125" s="60">
        <f t="shared" si="163"/>
        <v>40.329168527918789</v>
      </c>
      <c r="BJ125" s="80">
        <f t="shared" si="164"/>
        <v>613.54664286489265</v>
      </c>
      <c r="BK125" s="102">
        <f t="shared" si="168"/>
        <v>530.932341135451</v>
      </c>
      <c r="BL125" s="43"/>
      <c r="BM125" s="43"/>
      <c r="BN125" s="33"/>
      <c r="BR125" s="127"/>
    </row>
    <row r="126" spans="1:70" ht="110.25" x14ac:dyDescent="0.25">
      <c r="A126" s="37" t="s">
        <v>408</v>
      </c>
      <c r="B126" s="78" t="s">
        <v>362</v>
      </c>
      <c r="C126" s="156" t="s">
        <v>363</v>
      </c>
      <c r="D126" s="156" t="s">
        <v>311</v>
      </c>
      <c r="E126" s="156">
        <v>4</v>
      </c>
      <c r="F126" s="156">
        <v>63.25</v>
      </c>
      <c r="G126" s="156">
        <v>0</v>
      </c>
      <c r="H126" s="101">
        <f t="shared" si="152"/>
        <v>0</v>
      </c>
      <c r="I126" s="156"/>
      <c r="J126" s="156">
        <f t="shared" si="153"/>
        <v>0</v>
      </c>
      <c r="K126" s="156">
        <v>40</v>
      </c>
      <c r="L126" s="156">
        <f t="shared" si="154"/>
        <v>25.3</v>
      </c>
      <c r="M126" s="156">
        <v>1.65</v>
      </c>
      <c r="N126" s="156">
        <v>25</v>
      </c>
      <c r="O126" s="156">
        <f t="shared" si="155"/>
        <v>15.8125</v>
      </c>
      <c r="P126" s="156"/>
      <c r="Q126" s="156"/>
      <c r="R126" s="156">
        <v>40</v>
      </c>
      <c r="S126" s="156">
        <f t="shared" si="143"/>
        <v>42.405000000000001</v>
      </c>
      <c r="T126" s="156">
        <v>30</v>
      </c>
      <c r="U126" s="156">
        <f t="shared" si="144"/>
        <v>44.525250000000007</v>
      </c>
      <c r="V126" s="156">
        <v>30</v>
      </c>
      <c r="W126" s="156">
        <f t="shared" si="145"/>
        <v>44.525250000000007</v>
      </c>
      <c r="X126" s="60">
        <f t="shared" si="146"/>
        <v>237.46800000000002</v>
      </c>
      <c r="Y126" s="60">
        <f t="shared" si="147"/>
        <v>1.5228426395939085</v>
      </c>
      <c r="Z126" s="60">
        <f>X126*0.06</f>
        <v>14.24808</v>
      </c>
      <c r="AA126" s="60">
        <f t="shared" si="149"/>
        <v>16.622760000000003</v>
      </c>
      <c r="AB126" s="60">
        <f t="shared" si="150"/>
        <v>269.86168263959394</v>
      </c>
      <c r="AC126" s="60">
        <f t="shared" si="151"/>
        <v>81.498228157157371</v>
      </c>
      <c r="AD126" s="60">
        <f t="shared" si="156"/>
        <v>33.192986964670055</v>
      </c>
      <c r="AE126" s="60">
        <f t="shared" si="157"/>
        <v>23.397007884852798</v>
      </c>
      <c r="AF126" s="60" t="s">
        <v>83</v>
      </c>
      <c r="AG126" s="159">
        <v>30.677966000000001</v>
      </c>
      <c r="AH126" s="121">
        <v>10.199999999999999</v>
      </c>
      <c r="AI126" s="60">
        <v>13.973999999999998</v>
      </c>
      <c r="AJ126" s="60">
        <v>14.177999999999999</v>
      </c>
      <c r="AK126" s="60">
        <v>15.095999999999997</v>
      </c>
      <c r="AL126" s="60">
        <f t="shared" si="158"/>
        <v>14.305499999999997</v>
      </c>
      <c r="AM126" s="60">
        <f>AG126*AL126/100*23</f>
        <v>100.93863780098997</v>
      </c>
      <c r="AN126" s="60"/>
      <c r="AO126" s="60"/>
      <c r="AP126" s="60"/>
      <c r="AQ126" s="60">
        <f t="shared" si="160"/>
        <v>0</v>
      </c>
      <c r="AR126" s="60">
        <f t="shared" si="161"/>
        <v>100.93863780098997</v>
      </c>
      <c r="AS126" s="60" t="s">
        <v>320</v>
      </c>
      <c r="AT126" s="60">
        <v>201.7</v>
      </c>
      <c r="AU126" s="60">
        <v>0.6</v>
      </c>
      <c r="AV126" s="60">
        <f>AL126/100*23*AU126/100*AT126</f>
        <v>3.9818787029999982</v>
      </c>
      <c r="AW126" s="60">
        <v>50000</v>
      </c>
      <c r="AX126" s="60">
        <v>23</v>
      </c>
      <c r="AY126" s="60" t="s">
        <v>321</v>
      </c>
      <c r="AZ126" s="60" t="s">
        <v>322</v>
      </c>
      <c r="BA126" s="60" t="s">
        <v>323</v>
      </c>
      <c r="BB126" s="60">
        <f>AX126/AW126*(3995*2+3060*4)</f>
        <v>9.3057999999999996</v>
      </c>
      <c r="BC126" s="60">
        <v>37.44</v>
      </c>
      <c r="BD126" s="60">
        <v>34.82</v>
      </c>
      <c r="BE126" s="60">
        <v>0</v>
      </c>
      <c r="BF126" s="60">
        <v>6.5</v>
      </c>
      <c r="BG126" s="60"/>
      <c r="BH126" s="80">
        <f>AB126+AC126+AD126+AR126+AV126+BB126+BC126+BD126+BE126+BF126</f>
        <v>577.53921426541137</v>
      </c>
      <c r="BI126" s="60">
        <f t="shared" si="163"/>
        <v>53.972336527918792</v>
      </c>
      <c r="BJ126" s="80">
        <f t="shared" si="164"/>
        <v>654.90855867818289</v>
      </c>
      <c r="BK126" s="102">
        <f t="shared" si="168"/>
        <v>544.34622730074136</v>
      </c>
      <c r="BL126" s="43"/>
      <c r="BM126" s="43"/>
      <c r="BN126" s="33"/>
      <c r="BR126" s="127"/>
    </row>
    <row r="127" spans="1:70" ht="94.5" x14ac:dyDescent="0.25">
      <c r="A127" s="37" t="s">
        <v>409</v>
      </c>
      <c r="B127" s="156" t="s">
        <v>389</v>
      </c>
      <c r="C127" s="156" t="s">
        <v>390</v>
      </c>
      <c r="D127" s="156" t="s">
        <v>311</v>
      </c>
      <c r="E127" s="156">
        <v>4</v>
      </c>
      <c r="F127" s="156">
        <v>63.25</v>
      </c>
      <c r="G127" s="156">
        <v>0</v>
      </c>
      <c r="H127" s="101">
        <f t="shared" si="152"/>
        <v>0</v>
      </c>
      <c r="I127" s="156"/>
      <c r="J127" s="156">
        <f t="shared" si="153"/>
        <v>0</v>
      </c>
      <c r="K127" s="156"/>
      <c r="L127" s="156">
        <f t="shared" si="154"/>
        <v>0</v>
      </c>
      <c r="M127" s="156"/>
      <c r="N127" s="156">
        <v>25</v>
      </c>
      <c r="O127" s="156">
        <f t="shared" si="155"/>
        <v>15.8125</v>
      </c>
      <c r="P127" s="156"/>
      <c r="Q127" s="156"/>
      <c r="R127" s="156">
        <v>40</v>
      </c>
      <c r="S127" s="156">
        <f t="shared" si="143"/>
        <v>31.625</v>
      </c>
      <c r="T127" s="156">
        <v>30</v>
      </c>
      <c r="U127" s="156">
        <f t="shared" si="144"/>
        <v>33.206249999999997</v>
      </c>
      <c r="V127" s="156">
        <v>30</v>
      </c>
      <c r="W127" s="156">
        <f t="shared" si="145"/>
        <v>33.206249999999997</v>
      </c>
      <c r="X127" s="60">
        <f t="shared" si="146"/>
        <v>177.10000000000002</v>
      </c>
      <c r="Y127" s="60">
        <f t="shared" si="147"/>
        <v>1.5228426395939085</v>
      </c>
      <c r="Z127" s="60">
        <f>X127*0.06</f>
        <v>10.626000000000001</v>
      </c>
      <c r="AA127" s="60">
        <f t="shared" si="149"/>
        <v>12.397000000000002</v>
      </c>
      <c r="AB127" s="60">
        <f t="shared" si="150"/>
        <v>201.64584263959392</v>
      </c>
      <c r="AC127" s="60">
        <f t="shared" si="151"/>
        <v>60.897044477157365</v>
      </c>
      <c r="AD127" s="60">
        <f t="shared" si="156"/>
        <v>24.802438644670051</v>
      </c>
      <c r="AE127" s="60">
        <f t="shared" si="157"/>
        <v>17.482694556852792</v>
      </c>
      <c r="AF127" s="60" t="s">
        <v>87</v>
      </c>
      <c r="AG127" s="159">
        <v>31.567796999999999</v>
      </c>
      <c r="AH127" s="60">
        <v>9.1999999999999993</v>
      </c>
      <c r="AI127" s="60">
        <v>11.683999999999999</v>
      </c>
      <c r="AJ127" s="60">
        <v>11.867999999999997</v>
      </c>
      <c r="AK127" s="60">
        <v>12.695999999999996</v>
      </c>
      <c r="AL127" s="60">
        <f t="shared" si="158"/>
        <v>11.982999999999999</v>
      </c>
      <c r="AM127" s="60">
        <f>AG127*AL127/100*23</f>
        <v>87.003689633729991</v>
      </c>
      <c r="AN127" s="60"/>
      <c r="AO127" s="60"/>
      <c r="AP127" s="60"/>
      <c r="AQ127" s="60">
        <f t="shared" si="160"/>
        <v>0</v>
      </c>
      <c r="AR127" s="60">
        <f t="shared" si="161"/>
        <v>87.003689633729991</v>
      </c>
      <c r="AS127" s="60" t="s">
        <v>266</v>
      </c>
      <c r="AT127" s="60">
        <v>456</v>
      </c>
      <c r="AU127" s="60">
        <v>0.72</v>
      </c>
      <c r="AV127" s="60">
        <f>AL127/100*23*AU127/100*AT127</f>
        <v>9.048794688000001</v>
      </c>
      <c r="AW127" s="60">
        <v>33000</v>
      </c>
      <c r="AX127" s="60">
        <v>23</v>
      </c>
      <c r="AY127" s="60" t="s">
        <v>300</v>
      </c>
      <c r="AZ127" s="60">
        <v>1570</v>
      </c>
      <c r="BA127" s="80">
        <v>4</v>
      </c>
      <c r="BB127" s="60">
        <f>AZ127*BA127/AW127*AX127</f>
        <v>4.376969696969697</v>
      </c>
      <c r="BC127" s="60">
        <v>37.44</v>
      </c>
      <c r="BD127" s="60">
        <v>34.82</v>
      </c>
      <c r="BE127" s="60">
        <v>91.56</v>
      </c>
      <c r="BF127" s="60">
        <v>6.5</v>
      </c>
      <c r="BG127" s="60"/>
      <c r="BH127" s="80">
        <f>AB127+AC127+AD127+AR127+AV127+BB127+BC127+BD127+BE127+BF127</f>
        <v>558.09477978012103</v>
      </c>
      <c r="BI127" s="60">
        <f t="shared" si="163"/>
        <v>40.329168527918789</v>
      </c>
      <c r="BJ127" s="80">
        <f t="shared" si="164"/>
        <v>615.90664286489266</v>
      </c>
      <c r="BK127" s="102"/>
      <c r="BL127" s="43"/>
      <c r="BM127" s="43"/>
      <c r="BN127" s="33"/>
      <c r="BR127" s="127"/>
    </row>
    <row r="128" spans="1:70" ht="140.25" customHeight="1" x14ac:dyDescent="0.25">
      <c r="A128" s="37" t="s">
        <v>410</v>
      </c>
      <c r="B128" s="78" t="s">
        <v>292</v>
      </c>
      <c r="C128" s="156" t="s">
        <v>293</v>
      </c>
      <c r="D128" s="156" t="s">
        <v>311</v>
      </c>
      <c r="E128" s="156">
        <v>4</v>
      </c>
      <c r="F128" s="156">
        <v>63.25</v>
      </c>
      <c r="G128" s="156">
        <v>0</v>
      </c>
      <c r="H128" s="101">
        <f t="shared" si="152"/>
        <v>0</v>
      </c>
      <c r="I128" s="156"/>
      <c r="J128" s="156">
        <f t="shared" si="153"/>
        <v>0</v>
      </c>
      <c r="K128" s="156"/>
      <c r="L128" s="156">
        <f t="shared" si="154"/>
        <v>0</v>
      </c>
      <c r="M128" s="156"/>
      <c r="N128" s="156">
        <v>25</v>
      </c>
      <c r="O128" s="156">
        <f t="shared" si="155"/>
        <v>15.8125</v>
      </c>
      <c r="P128" s="156"/>
      <c r="Q128" s="156"/>
      <c r="R128" s="156">
        <v>40</v>
      </c>
      <c r="S128" s="156">
        <f t="shared" si="143"/>
        <v>31.625</v>
      </c>
      <c r="T128" s="156">
        <v>30</v>
      </c>
      <c r="U128" s="156">
        <f t="shared" si="144"/>
        <v>33.206249999999997</v>
      </c>
      <c r="V128" s="156">
        <v>30</v>
      </c>
      <c r="W128" s="156">
        <f t="shared" si="145"/>
        <v>33.206249999999997</v>
      </c>
      <c r="X128" s="60">
        <f t="shared" si="146"/>
        <v>177.10000000000002</v>
      </c>
      <c r="Y128" s="60">
        <f t="shared" si="147"/>
        <v>1.5228426395939085</v>
      </c>
      <c r="Z128" s="60">
        <f>X128*0.06</f>
        <v>10.626000000000001</v>
      </c>
      <c r="AA128" s="60">
        <f t="shared" si="149"/>
        <v>12.397000000000002</v>
      </c>
      <c r="AB128" s="60">
        <f t="shared" si="150"/>
        <v>201.64584263959392</v>
      </c>
      <c r="AC128" s="60">
        <f t="shared" si="151"/>
        <v>60.897044477157365</v>
      </c>
      <c r="AD128" s="60">
        <f t="shared" si="156"/>
        <v>24.802438644670051</v>
      </c>
      <c r="AE128" s="60">
        <f t="shared" si="157"/>
        <v>17.482694556852792</v>
      </c>
      <c r="AF128" s="60" t="s">
        <v>83</v>
      </c>
      <c r="AG128" s="159">
        <v>30.677966000000001</v>
      </c>
      <c r="AH128" s="121">
        <v>10.1</v>
      </c>
      <c r="AI128" s="60">
        <v>13.837000000000002</v>
      </c>
      <c r="AJ128" s="60">
        <v>14.039000000000001</v>
      </c>
      <c r="AK128" s="60">
        <v>14.948</v>
      </c>
      <c r="AL128" s="60">
        <f t="shared" si="158"/>
        <v>14.16525</v>
      </c>
      <c r="AM128" s="60">
        <f>AG128*AL128/100*23</f>
        <v>99.949043312745005</v>
      </c>
      <c r="AN128" s="60"/>
      <c r="AO128" s="60"/>
      <c r="AP128" s="60"/>
      <c r="AQ128" s="60">
        <f t="shared" si="160"/>
        <v>0</v>
      </c>
      <c r="AR128" s="60">
        <f t="shared" si="161"/>
        <v>99.949043312745005</v>
      </c>
      <c r="AS128" s="60" t="s">
        <v>458</v>
      </c>
      <c r="AT128" s="60">
        <v>211.86</v>
      </c>
      <c r="AU128" s="60">
        <v>0.72</v>
      </c>
      <c r="AV128" s="60">
        <f>AL128/100*23*AU128/100*AT128</f>
        <v>4.9697385764400002</v>
      </c>
      <c r="AW128" s="60">
        <v>50000</v>
      </c>
      <c r="AX128" s="60">
        <v>23</v>
      </c>
      <c r="AY128" s="60" t="s">
        <v>189</v>
      </c>
      <c r="AZ128" s="60">
        <v>6424.57</v>
      </c>
      <c r="BA128" s="80">
        <v>4</v>
      </c>
      <c r="BB128" s="60">
        <f>AZ128*BA128/AW128*AX128</f>
        <v>11.821208800000001</v>
      </c>
      <c r="BC128" s="60">
        <v>37.44</v>
      </c>
      <c r="BD128" s="60">
        <v>34.82</v>
      </c>
      <c r="BE128" s="60">
        <v>11.88</v>
      </c>
      <c r="BF128" s="60">
        <v>6.5</v>
      </c>
      <c r="BG128" s="60"/>
      <c r="BH128" s="80">
        <f>AB128+AC128+AD128+AR128+AV128+BB128+BC128+BD128+BE128+BF128</f>
        <v>494.72531645060639</v>
      </c>
      <c r="BI128" s="60">
        <f t="shared" si="163"/>
        <v>40.329168527918789</v>
      </c>
      <c r="BJ128" s="80">
        <f t="shared" si="164"/>
        <v>552.53717953537796</v>
      </c>
      <c r="BK128" s="102">
        <f>BH128-AD128</f>
        <v>469.92287780593631</v>
      </c>
      <c r="BL128" s="43"/>
      <c r="BM128" s="43"/>
      <c r="BN128" s="33"/>
      <c r="BR128" s="127"/>
    </row>
    <row r="129" spans="1:70" ht="116.25" customHeight="1" x14ac:dyDescent="0.25">
      <c r="A129" s="37" t="s">
        <v>411</v>
      </c>
      <c r="B129" s="78" t="s">
        <v>324</v>
      </c>
      <c r="C129" s="156" t="s">
        <v>325</v>
      </c>
      <c r="D129" s="156" t="s">
        <v>311</v>
      </c>
      <c r="E129" s="156">
        <v>4</v>
      </c>
      <c r="F129" s="156">
        <v>63.25</v>
      </c>
      <c r="G129" s="156">
        <v>0</v>
      </c>
      <c r="H129" s="101">
        <f t="shared" si="152"/>
        <v>0</v>
      </c>
      <c r="I129" s="156"/>
      <c r="J129" s="156">
        <f t="shared" si="153"/>
        <v>0</v>
      </c>
      <c r="K129" s="156"/>
      <c r="L129" s="156">
        <f t="shared" si="154"/>
        <v>0</v>
      </c>
      <c r="M129" s="156"/>
      <c r="N129" s="156">
        <v>25</v>
      </c>
      <c r="O129" s="156">
        <f t="shared" si="155"/>
        <v>15.8125</v>
      </c>
      <c r="P129" s="156"/>
      <c r="Q129" s="156"/>
      <c r="R129" s="156">
        <v>40</v>
      </c>
      <c r="S129" s="156">
        <f t="shared" si="143"/>
        <v>31.625</v>
      </c>
      <c r="T129" s="156">
        <v>30</v>
      </c>
      <c r="U129" s="156">
        <f t="shared" si="144"/>
        <v>33.206249999999997</v>
      </c>
      <c r="V129" s="156">
        <v>30</v>
      </c>
      <c r="W129" s="156">
        <f t="shared" si="145"/>
        <v>33.206249999999997</v>
      </c>
      <c r="X129" s="60">
        <f t="shared" si="146"/>
        <v>177.10000000000002</v>
      </c>
      <c r="Y129" s="60">
        <f t="shared" ref="Y129:Y134" si="173">3000/1970</f>
        <v>1.5228426395939085</v>
      </c>
      <c r="Z129" s="60">
        <f t="shared" ref="Z129:Z134" si="174">X129*0.06</f>
        <v>10.626000000000001</v>
      </c>
      <c r="AA129" s="60">
        <f t="shared" si="149"/>
        <v>12.397000000000002</v>
      </c>
      <c r="AB129" s="60">
        <f t="shared" si="150"/>
        <v>201.64584263959392</v>
      </c>
      <c r="AC129" s="60">
        <f t="shared" si="151"/>
        <v>60.897044477157365</v>
      </c>
      <c r="AD129" s="60">
        <f t="shared" si="156"/>
        <v>24.802438644670051</v>
      </c>
      <c r="AE129" s="60">
        <f t="shared" si="157"/>
        <v>17.482694556852792</v>
      </c>
      <c r="AF129" s="60" t="s">
        <v>83</v>
      </c>
      <c r="AG129" s="159">
        <v>30.677966000000001</v>
      </c>
      <c r="AH129" s="121">
        <v>10.199999999999999</v>
      </c>
      <c r="AI129" s="60">
        <v>13.973999999999998</v>
      </c>
      <c r="AJ129" s="60">
        <v>14.177999999999999</v>
      </c>
      <c r="AK129" s="60">
        <v>15.095999999999997</v>
      </c>
      <c r="AL129" s="60">
        <f t="shared" si="158"/>
        <v>14.305499999999997</v>
      </c>
      <c r="AM129" s="60">
        <f t="shared" ref="AM129:AM134" si="175">AG129*AL129/100*23</f>
        <v>100.93863780098997</v>
      </c>
      <c r="AN129" s="60"/>
      <c r="AO129" s="60"/>
      <c r="AP129" s="60"/>
      <c r="AQ129" s="60">
        <f t="shared" ref="AQ129:AQ134" si="176">AG129*AO129*AP129</f>
        <v>0</v>
      </c>
      <c r="AR129" s="60">
        <f t="shared" si="161"/>
        <v>100.93863780098997</v>
      </c>
      <c r="AS129" s="60" t="s">
        <v>459</v>
      </c>
      <c r="AT129" s="60">
        <v>211.86</v>
      </c>
      <c r="AU129" s="60">
        <v>0.72</v>
      </c>
      <c r="AV129" s="60">
        <f t="shared" ref="AV129:AV134" si="177">AL129/100*23*AU129/100*AT129</f>
        <v>5.018943908879999</v>
      </c>
      <c r="AW129" s="60">
        <v>50000</v>
      </c>
      <c r="AX129" s="60">
        <v>23</v>
      </c>
      <c r="AY129" s="60" t="s">
        <v>189</v>
      </c>
      <c r="AZ129" s="60">
        <v>6424.57</v>
      </c>
      <c r="BA129" s="80">
        <v>4</v>
      </c>
      <c r="BB129" s="60">
        <f t="shared" ref="BB129:BB134" si="178">AZ129*BA129/AW129*AX129</f>
        <v>11.821208800000001</v>
      </c>
      <c r="BC129" s="60">
        <v>37.44</v>
      </c>
      <c r="BD129" s="60">
        <v>34.82</v>
      </c>
      <c r="BE129" s="60">
        <v>11.88</v>
      </c>
      <c r="BF129" s="60">
        <v>6.5</v>
      </c>
      <c r="BG129" s="60"/>
      <c r="BH129" s="80">
        <f t="shared" ref="BH129:BH134" si="179">AB129+AC129+AD129+AR129+AV129+BB129+BC129+BD129+BE129+BF129+BG129</f>
        <v>495.7641162712913</v>
      </c>
      <c r="BI129" s="60">
        <f t="shared" si="163"/>
        <v>40.329168527918789</v>
      </c>
      <c r="BJ129" s="80">
        <f t="shared" ref="BJ129:BJ134" si="180">BH129+AE129+BI129</f>
        <v>553.57597935606293</v>
      </c>
      <c r="BK129" s="102">
        <f t="shared" ref="BK129:BK134" si="181">BH129-AD129</f>
        <v>470.96167762662122</v>
      </c>
      <c r="BL129" s="43"/>
      <c r="BM129" s="43"/>
      <c r="BN129" s="33"/>
      <c r="BR129" s="127"/>
    </row>
    <row r="130" spans="1:70" ht="109.5" customHeight="1" x14ac:dyDescent="0.25">
      <c r="A130" s="37" t="s">
        <v>412</v>
      </c>
      <c r="B130" s="78" t="s">
        <v>324</v>
      </c>
      <c r="C130" s="156" t="s">
        <v>326</v>
      </c>
      <c r="D130" s="156" t="s">
        <v>311</v>
      </c>
      <c r="E130" s="156">
        <v>4</v>
      </c>
      <c r="F130" s="156">
        <v>63.25</v>
      </c>
      <c r="G130" s="156">
        <v>0</v>
      </c>
      <c r="H130" s="101">
        <f t="shared" si="152"/>
        <v>0</v>
      </c>
      <c r="I130" s="156"/>
      <c r="J130" s="156">
        <f t="shared" si="153"/>
        <v>0</v>
      </c>
      <c r="K130" s="156"/>
      <c r="L130" s="156">
        <f t="shared" si="154"/>
        <v>0</v>
      </c>
      <c r="M130" s="156"/>
      <c r="N130" s="156">
        <v>25</v>
      </c>
      <c r="O130" s="156">
        <f t="shared" si="155"/>
        <v>15.8125</v>
      </c>
      <c r="P130" s="156"/>
      <c r="Q130" s="156"/>
      <c r="R130" s="156">
        <v>40</v>
      </c>
      <c r="S130" s="156">
        <f t="shared" si="143"/>
        <v>31.625</v>
      </c>
      <c r="T130" s="156">
        <v>30</v>
      </c>
      <c r="U130" s="156">
        <f t="shared" si="144"/>
        <v>33.206249999999997</v>
      </c>
      <c r="V130" s="156">
        <v>30</v>
      </c>
      <c r="W130" s="156">
        <f t="shared" si="145"/>
        <v>33.206249999999997</v>
      </c>
      <c r="X130" s="60">
        <f t="shared" si="146"/>
        <v>177.10000000000002</v>
      </c>
      <c r="Y130" s="60">
        <f t="shared" si="173"/>
        <v>1.5228426395939085</v>
      </c>
      <c r="Z130" s="60">
        <f t="shared" si="174"/>
        <v>10.626000000000001</v>
      </c>
      <c r="AA130" s="60">
        <f t="shared" si="149"/>
        <v>12.397000000000002</v>
      </c>
      <c r="AB130" s="60">
        <f t="shared" si="150"/>
        <v>201.64584263959392</v>
      </c>
      <c r="AC130" s="60">
        <f t="shared" si="151"/>
        <v>60.897044477157365</v>
      </c>
      <c r="AD130" s="60">
        <f t="shared" si="156"/>
        <v>24.802438644670051</v>
      </c>
      <c r="AE130" s="60">
        <f t="shared" si="157"/>
        <v>17.482694556852792</v>
      </c>
      <c r="AF130" s="60" t="s">
        <v>83</v>
      </c>
      <c r="AG130" s="159">
        <v>30.677966000000001</v>
      </c>
      <c r="AH130" s="121">
        <v>10.199999999999999</v>
      </c>
      <c r="AI130" s="60">
        <v>13.973999999999998</v>
      </c>
      <c r="AJ130" s="60">
        <v>14.177999999999999</v>
      </c>
      <c r="AK130" s="60">
        <v>15.095999999999997</v>
      </c>
      <c r="AL130" s="60">
        <f t="shared" si="158"/>
        <v>14.305499999999997</v>
      </c>
      <c r="AM130" s="60">
        <f t="shared" si="175"/>
        <v>100.93863780098997</v>
      </c>
      <c r="AN130" s="60"/>
      <c r="AO130" s="60"/>
      <c r="AP130" s="60"/>
      <c r="AQ130" s="60">
        <f t="shared" si="176"/>
        <v>0</v>
      </c>
      <c r="AR130" s="60">
        <f t="shared" si="161"/>
        <v>100.93863780098997</v>
      </c>
      <c r="AS130" s="60" t="s">
        <v>459</v>
      </c>
      <c r="AT130" s="60">
        <v>211.86</v>
      </c>
      <c r="AU130" s="60">
        <v>0.72</v>
      </c>
      <c r="AV130" s="60">
        <f t="shared" si="177"/>
        <v>5.018943908879999</v>
      </c>
      <c r="AW130" s="60">
        <v>50000</v>
      </c>
      <c r="AX130" s="60">
        <v>23</v>
      </c>
      <c r="AY130" s="60" t="s">
        <v>189</v>
      </c>
      <c r="AZ130" s="60">
        <v>6424.57</v>
      </c>
      <c r="BA130" s="80">
        <v>4</v>
      </c>
      <c r="BB130" s="60">
        <f t="shared" si="178"/>
        <v>11.821208800000001</v>
      </c>
      <c r="BC130" s="60">
        <v>37.44</v>
      </c>
      <c r="BD130" s="60">
        <v>34.82</v>
      </c>
      <c r="BE130" s="60">
        <v>11.88</v>
      </c>
      <c r="BF130" s="60">
        <v>6.5</v>
      </c>
      <c r="BG130" s="60"/>
      <c r="BH130" s="80">
        <f t="shared" si="179"/>
        <v>495.7641162712913</v>
      </c>
      <c r="BI130" s="60">
        <f t="shared" si="163"/>
        <v>40.329168527918789</v>
      </c>
      <c r="BJ130" s="80">
        <f t="shared" si="180"/>
        <v>553.57597935606293</v>
      </c>
      <c r="BK130" s="102">
        <f t="shared" si="181"/>
        <v>470.96167762662122</v>
      </c>
      <c r="BL130" s="43"/>
      <c r="BM130" s="43"/>
      <c r="BN130" s="33"/>
      <c r="BR130" s="127"/>
    </row>
    <row r="131" spans="1:70" ht="130.5" customHeight="1" x14ac:dyDescent="0.25">
      <c r="A131" s="37" t="s">
        <v>413</v>
      </c>
      <c r="B131" s="78" t="s">
        <v>324</v>
      </c>
      <c r="C131" s="156" t="s">
        <v>327</v>
      </c>
      <c r="D131" s="156" t="s">
        <v>311</v>
      </c>
      <c r="E131" s="156">
        <v>4</v>
      </c>
      <c r="F131" s="156">
        <v>79.069999999999993</v>
      </c>
      <c r="G131" s="156">
        <v>0</v>
      </c>
      <c r="H131" s="101">
        <f t="shared" si="152"/>
        <v>0</v>
      </c>
      <c r="I131" s="156"/>
      <c r="J131" s="156">
        <f t="shared" si="153"/>
        <v>0</v>
      </c>
      <c r="K131" s="156"/>
      <c r="L131" s="156">
        <f t="shared" si="154"/>
        <v>0</v>
      </c>
      <c r="M131" s="156"/>
      <c r="N131" s="156">
        <v>25</v>
      </c>
      <c r="O131" s="156">
        <f t="shared" si="155"/>
        <v>19.767499999999998</v>
      </c>
      <c r="P131" s="156"/>
      <c r="Q131" s="156"/>
      <c r="R131" s="156">
        <v>40</v>
      </c>
      <c r="S131" s="156">
        <f t="shared" si="143"/>
        <v>39.534999999999997</v>
      </c>
      <c r="T131" s="156">
        <v>30</v>
      </c>
      <c r="U131" s="156">
        <f t="shared" si="144"/>
        <v>41.511749999999999</v>
      </c>
      <c r="V131" s="156">
        <v>30</v>
      </c>
      <c r="W131" s="156">
        <f t="shared" si="145"/>
        <v>41.511749999999999</v>
      </c>
      <c r="X131" s="60">
        <f t="shared" si="146"/>
        <v>221.39600000000002</v>
      </c>
      <c r="Y131" s="60">
        <f t="shared" si="173"/>
        <v>1.5228426395939085</v>
      </c>
      <c r="Z131" s="60">
        <f t="shared" si="174"/>
        <v>13.283760000000001</v>
      </c>
      <c r="AA131" s="60">
        <f t="shared" si="149"/>
        <v>15.497720000000003</v>
      </c>
      <c r="AB131" s="60">
        <f t="shared" si="150"/>
        <v>251.70032263959394</v>
      </c>
      <c r="AC131" s="60">
        <f t="shared" si="151"/>
        <v>76.013497437157369</v>
      </c>
      <c r="AD131" s="60">
        <f t="shared" si="156"/>
        <v>30.959139684670053</v>
      </c>
      <c r="AE131" s="60">
        <f t="shared" si="157"/>
        <v>21.822417972852794</v>
      </c>
      <c r="AF131" s="60" t="s">
        <v>83</v>
      </c>
      <c r="AG131" s="159">
        <v>30.677966000000001</v>
      </c>
      <c r="AH131" s="121">
        <v>10.199999999999999</v>
      </c>
      <c r="AI131" s="60">
        <v>13.973999999999998</v>
      </c>
      <c r="AJ131" s="60">
        <v>14.177999999999999</v>
      </c>
      <c r="AK131" s="60">
        <v>15.095999999999997</v>
      </c>
      <c r="AL131" s="60">
        <f t="shared" si="158"/>
        <v>14.305499999999997</v>
      </c>
      <c r="AM131" s="60">
        <f t="shared" si="175"/>
        <v>100.93863780098997</v>
      </c>
      <c r="AN131" s="60"/>
      <c r="AO131" s="60"/>
      <c r="AP131" s="60"/>
      <c r="AQ131" s="60">
        <f t="shared" si="176"/>
        <v>0</v>
      </c>
      <c r="AR131" s="60">
        <f t="shared" si="161"/>
        <v>100.93863780098997</v>
      </c>
      <c r="AS131" s="60" t="s">
        <v>459</v>
      </c>
      <c r="AT131" s="60">
        <v>211.86</v>
      </c>
      <c r="AU131" s="60">
        <v>0.72</v>
      </c>
      <c r="AV131" s="60">
        <f t="shared" si="177"/>
        <v>5.018943908879999</v>
      </c>
      <c r="AW131" s="60">
        <v>50000</v>
      </c>
      <c r="AX131" s="60">
        <v>23</v>
      </c>
      <c r="AY131" s="60" t="s">
        <v>189</v>
      </c>
      <c r="AZ131" s="60">
        <v>6424.57</v>
      </c>
      <c r="BA131" s="80">
        <v>4</v>
      </c>
      <c r="BB131" s="60">
        <f t="shared" si="178"/>
        <v>11.821208800000001</v>
      </c>
      <c r="BC131" s="60">
        <v>37.44</v>
      </c>
      <c r="BD131" s="60">
        <v>34.82</v>
      </c>
      <c r="BE131" s="60">
        <v>11.88</v>
      </c>
      <c r="BF131" s="60">
        <v>6.5</v>
      </c>
      <c r="BG131" s="60"/>
      <c r="BH131" s="80">
        <f t="shared" si="179"/>
        <v>567.0917502712914</v>
      </c>
      <c r="BI131" s="60">
        <f t="shared" si="163"/>
        <v>50.340064527918791</v>
      </c>
      <c r="BJ131" s="80">
        <f t="shared" si="180"/>
        <v>639.25423277206301</v>
      </c>
      <c r="BK131" s="102">
        <f t="shared" si="181"/>
        <v>536.13261058662135</v>
      </c>
      <c r="BL131" s="43"/>
      <c r="BM131" s="43"/>
      <c r="BN131" s="33"/>
      <c r="BR131" s="127"/>
    </row>
    <row r="132" spans="1:70" ht="114" customHeight="1" x14ac:dyDescent="0.25">
      <c r="A132" s="37" t="s">
        <v>414</v>
      </c>
      <c r="B132" s="78" t="s">
        <v>324</v>
      </c>
      <c r="C132" s="156" t="s">
        <v>328</v>
      </c>
      <c r="D132" s="156" t="s">
        <v>311</v>
      </c>
      <c r="E132" s="156">
        <v>4</v>
      </c>
      <c r="F132" s="156">
        <v>63.25</v>
      </c>
      <c r="G132" s="156">
        <v>0</v>
      </c>
      <c r="H132" s="101">
        <f t="shared" si="152"/>
        <v>0</v>
      </c>
      <c r="I132" s="156"/>
      <c r="J132" s="156">
        <f t="shared" si="153"/>
        <v>0</v>
      </c>
      <c r="K132" s="156"/>
      <c r="L132" s="156">
        <f t="shared" si="154"/>
        <v>0</v>
      </c>
      <c r="M132" s="156"/>
      <c r="N132" s="156">
        <v>25</v>
      </c>
      <c r="O132" s="156">
        <f t="shared" si="155"/>
        <v>15.8125</v>
      </c>
      <c r="P132" s="156"/>
      <c r="Q132" s="156"/>
      <c r="R132" s="156">
        <v>40</v>
      </c>
      <c r="S132" s="156">
        <f t="shared" si="143"/>
        <v>31.625</v>
      </c>
      <c r="T132" s="156">
        <v>30</v>
      </c>
      <c r="U132" s="156">
        <f t="shared" si="144"/>
        <v>33.206249999999997</v>
      </c>
      <c r="V132" s="156">
        <v>30</v>
      </c>
      <c r="W132" s="156">
        <f t="shared" si="145"/>
        <v>33.206249999999997</v>
      </c>
      <c r="X132" s="60">
        <f t="shared" si="146"/>
        <v>177.10000000000002</v>
      </c>
      <c r="Y132" s="60">
        <f t="shared" si="173"/>
        <v>1.5228426395939085</v>
      </c>
      <c r="Z132" s="60">
        <f t="shared" si="174"/>
        <v>10.626000000000001</v>
      </c>
      <c r="AA132" s="60">
        <f t="shared" si="149"/>
        <v>12.397000000000002</v>
      </c>
      <c r="AB132" s="60">
        <f t="shared" si="150"/>
        <v>201.64584263959392</v>
      </c>
      <c r="AC132" s="60">
        <f t="shared" si="151"/>
        <v>60.897044477157365</v>
      </c>
      <c r="AD132" s="60">
        <f t="shared" si="156"/>
        <v>24.802438644670051</v>
      </c>
      <c r="AE132" s="60">
        <f t="shared" si="157"/>
        <v>17.482694556852792</v>
      </c>
      <c r="AF132" s="60" t="s">
        <v>83</v>
      </c>
      <c r="AG132" s="159">
        <v>30.677966000000001</v>
      </c>
      <c r="AH132" s="121">
        <v>10.199999999999999</v>
      </c>
      <c r="AI132" s="60">
        <v>13.973999999999998</v>
      </c>
      <c r="AJ132" s="60">
        <v>14.177999999999999</v>
      </c>
      <c r="AK132" s="60">
        <v>15.095999999999997</v>
      </c>
      <c r="AL132" s="60">
        <f t="shared" si="158"/>
        <v>14.305499999999997</v>
      </c>
      <c r="AM132" s="60">
        <f t="shared" si="175"/>
        <v>100.93863780098997</v>
      </c>
      <c r="AN132" s="60"/>
      <c r="AO132" s="60"/>
      <c r="AP132" s="60"/>
      <c r="AQ132" s="60">
        <f t="shared" si="176"/>
        <v>0</v>
      </c>
      <c r="AR132" s="60">
        <f t="shared" si="161"/>
        <v>100.93863780098997</v>
      </c>
      <c r="AS132" s="60" t="s">
        <v>459</v>
      </c>
      <c r="AT132" s="60">
        <v>211.86</v>
      </c>
      <c r="AU132" s="60">
        <v>0.72</v>
      </c>
      <c r="AV132" s="60">
        <f t="shared" si="177"/>
        <v>5.018943908879999</v>
      </c>
      <c r="AW132" s="60">
        <v>50000</v>
      </c>
      <c r="AX132" s="60">
        <v>23</v>
      </c>
      <c r="AY132" s="60" t="s">
        <v>189</v>
      </c>
      <c r="AZ132" s="60">
        <v>6424.57</v>
      </c>
      <c r="BA132" s="80">
        <v>4</v>
      </c>
      <c r="BB132" s="60">
        <f t="shared" si="178"/>
        <v>11.821208800000001</v>
      </c>
      <c r="BC132" s="60">
        <v>37.44</v>
      </c>
      <c r="BD132" s="60">
        <v>34.82</v>
      </c>
      <c r="BE132" s="60">
        <v>11.88</v>
      </c>
      <c r="BF132" s="60">
        <v>6.5</v>
      </c>
      <c r="BG132" s="60"/>
      <c r="BH132" s="80">
        <f t="shared" si="179"/>
        <v>495.7641162712913</v>
      </c>
      <c r="BI132" s="60">
        <f t="shared" si="163"/>
        <v>40.329168527918789</v>
      </c>
      <c r="BJ132" s="80">
        <f t="shared" si="180"/>
        <v>553.57597935606293</v>
      </c>
      <c r="BK132" s="102">
        <f t="shared" si="181"/>
        <v>470.96167762662122</v>
      </c>
      <c r="BL132" s="43"/>
      <c r="BM132" s="43"/>
      <c r="BN132" s="33"/>
      <c r="BR132" s="127"/>
    </row>
    <row r="133" spans="1:70" ht="146.25" customHeight="1" x14ac:dyDescent="0.25">
      <c r="A133" s="37" t="s">
        <v>415</v>
      </c>
      <c r="B133" s="78" t="s">
        <v>324</v>
      </c>
      <c r="C133" s="156" t="s">
        <v>329</v>
      </c>
      <c r="D133" s="156" t="s">
        <v>311</v>
      </c>
      <c r="E133" s="156">
        <v>4</v>
      </c>
      <c r="F133" s="156">
        <v>63.25</v>
      </c>
      <c r="G133" s="156">
        <v>0</v>
      </c>
      <c r="H133" s="101">
        <f t="shared" si="152"/>
        <v>0</v>
      </c>
      <c r="I133" s="156"/>
      <c r="J133" s="156">
        <f t="shared" si="153"/>
        <v>0</v>
      </c>
      <c r="K133" s="156"/>
      <c r="L133" s="156">
        <f t="shared" si="154"/>
        <v>0</v>
      </c>
      <c r="M133" s="156"/>
      <c r="N133" s="156">
        <v>25</v>
      </c>
      <c r="O133" s="156">
        <f t="shared" si="155"/>
        <v>15.8125</v>
      </c>
      <c r="P133" s="156"/>
      <c r="Q133" s="156"/>
      <c r="R133" s="156">
        <v>40</v>
      </c>
      <c r="S133" s="156">
        <f t="shared" si="143"/>
        <v>31.625</v>
      </c>
      <c r="T133" s="156">
        <v>30</v>
      </c>
      <c r="U133" s="156">
        <f t="shared" si="144"/>
        <v>33.206249999999997</v>
      </c>
      <c r="V133" s="156">
        <v>30</v>
      </c>
      <c r="W133" s="156">
        <f t="shared" si="145"/>
        <v>33.206249999999997</v>
      </c>
      <c r="X133" s="60">
        <f t="shared" si="146"/>
        <v>177.10000000000002</v>
      </c>
      <c r="Y133" s="60">
        <f t="shared" si="173"/>
        <v>1.5228426395939085</v>
      </c>
      <c r="Z133" s="60">
        <f t="shared" si="174"/>
        <v>10.626000000000001</v>
      </c>
      <c r="AA133" s="60">
        <f t="shared" si="149"/>
        <v>12.397000000000002</v>
      </c>
      <c r="AB133" s="60">
        <f t="shared" si="150"/>
        <v>201.64584263959392</v>
      </c>
      <c r="AC133" s="60">
        <f t="shared" si="151"/>
        <v>60.897044477157365</v>
      </c>
      <c r="AD133" s="60">
        <f t="shared" si="156"/>
        <v>24.802438644670051</v>
      </c>
      <c r="AE133" s="60">
        <f t="shared" si="157"/>
        <v>17.482694556852792</v>
      </c>
      <c r="AF133" s="60" t="s">
        <v>83</v>
      </c>
      <c r="AG133" s="159">
        <v>30.677966000000001</v>
      </c>
      <c r="AH133" s="121">
        <v>10.199999999999999</v>
      </c>
      <c r="AI133" s="60">
        <v>13.973999999999998</v>
      </c>
      <c r="AJ133" s="60">
        <v>14.177999999999999</v>
      </c>
      <c r="AK133" s="60">
        <v>15.095999999999997</v>
      </c>
      <c r="AL133" s="60">
        <f t="shared" si="158"/>
        <v>14.305499999999997</v>
      </c>
      <c r="AM133" s="60">
        <f t="shared" si="175"/>
        <v>100.93863780098997</v>
      </c>
      <c r="AN133" s="60"/>
      <c r="AO133" s="60"/>
      <c r="AP133" s="60"/>
      <c r="AQ133" s="60">
        <f t="shared" si="176"/>
        <v>0</v>
      </c>
      <c r="AR133" s="60">
        <f t="shared" si="161"/>
        <v>100.93863780098997</v>
      </c>
      <c r="AS133" s="60" t="s">
        <v>459</v>
      </c>
      <c r="AT133" s="60">
        <v>211.86</v>
      </c>
      <c r="AU133" s="60">
        <v>0.72</v>
      </c>
      <c r="AV133" s="60">
        <f t="shared" si="177"/>
        <v>5.018943908879999</v>
      </c>
      <c r="AW133" s="60">
        <v>50000</v>
      </c>
      <c r="AX133" s="60">
        <v>23</v>
      </c>
      <c r="AY133" s="60" t="s">
        <v>189</v>
      </c>
      <c r="AZ133" s="60">
        <v>6424.57</v>
      </c>
      <c r="BA133" s="80">
        <v>4</v>
      </c>
      <c r="BB133" s="60">
        <f t="shared" si="178"/>
        <v>11.821208800000001</v>
      </c>
      <c r="BC133" s="60">
        <v>48.28</v>
      </c>
      <c r="BD133" s="60">
        <v>34.82</v>
      </c>
      <c r="BE133" s="60">
        <v>11.88</v>
      </c>
      <c r="BF133" s="60">
        <v>6.5</v>
      </c>
      <c r="BG133" s="60"/>
      <c r="BH133" s="80">
        <f t="shared" si="179"/>
        <v>506.60411627129128</v>
      </c>
      <c r="BI133" s="60">
        <f t="shared" si="163"/>
        <v>40.329168527918789</v>
      </c>
      <c r="BJ133" s="80">
        <f t="shared" si="180"/>
        <v>564.41597935606285</v>
      </c>
      <c r="BK133" s="102">
        <f t="shared" si="181"/>
        <v>481.8016776266212</v>
      </c>
      <c r="BL133" s="43"/>
      <c r="BM133" s="43"/>
      <c r="BN133" s="33"/>
      <c r="BR133" s="127"/>
    </row>
    <row r="134" spans="1:70" ht="147" customHeight="1" x14ac:dyDescent="0.25">
      <c r="A134" s="58" t="s">
        <v>416</v>
      </c>
      <c r="B134" s="78" t="s">
        <v>330</v>
      </c>
      <c r="C134" s="156" t="s">
        <v>331</v>
      </c>
      <c r="D134" s="156" t="s">
        <v>311</v>
      </c>
      <c r="E134" s="156">
        <v>4</v>
      </c>
      <c r="F134" s="156">
        <v>63.25</v>
      </c>
      <c r="G134" s="156">
        <v>0</v>
      </c>
      <c r="H134" s="101">
        <f t="shared" si="152"/>
        <v>0</v>
      </c>
      <c r="I134" s="156"/>
      <c r="J134" s="156">
        <f t="shared" si="153"/>
        <v>0</v>
      </c>
      <c r="K134" s="156"/>
      <c r="L134" s="156">
        <f t="shared" si="154"/>
        <v>0</v>
      </c>
      <c r="M134" s="156"/>
      <c r="N134" s="156">
        <v>25</v>
      </c>
      <c r="O134" s="156">
        <f t="shared" si="155"/>
        <v>15.8125</v>
      </c>
      <c r="P134" s="156"/>
      <c r="Q134" s="156"/>
      <c r="R134" s="156">
        <v>40</v>
      </c>
      <c r="S134" s="156">
        <f t="shared" si="143"/>
        <v>31.625</v>
      </c>
      <c r="T134" s="156">
        <v>30</v>
      </c>
      <c r="U134" s="156">
        <f t="shared" si="144"/>
        <v>33.206249999999997</v>
      </c>
      <c r="V134" s="156">
        <v>30</v>
      </c>
      <c r="W134" s="156">
        <f t="shared" si="145"/>
        <v>33.206249999999997</v>
      </c>
      <c r="X134" s="60">
        <f t="shared" si="146"/>
        <v>177.10000000000002</v>
      </c>
      <c r="Y134" s="60">
        <f t="shared" si="173"/>
        <v>1.5228426395939085</v>
      </c>
      <c r="Z134" s="60">
        <f t="shared" si="174"/>
        <v>10.626000000000001</v>
      </c>
      <c r="AA134" s="60">
        <f t="shared" si="149"/>
        <v>12.397000000000002</v>
      </c>
      <c r="AB134" s="60">
        <f t="shared" si="150"/>
        <v>201.64584263959392</v>
      </c>
      <c r="AC134" s="60">
        <f t="shared" si="151"/>
        <v>60.897044477157365</v>
      </c>
      <c r="AD134" s="60">
        <f t="shared" si="156"/>
        <v>24.802438644670051</v>
      </c>
      <c r="AE134" s="60">
        <f>AB134*1.734*0.05</f>
        <v>17.482694556852792</v>
      </c>
      <c r="AF134" s="60" t="s">
        <v>83</v>
      </c>
      <c r="AG134" s="159">
        <v>30.677966000000001</v>
      </c>
      <c r="AH134" s="121">
        <v>10.1</v>
      </c>
      <c r="AI134" s="60">
        <v>13.837000000000002</v>
      </c>
      <c r="AJ134" s="60">
        <v>14.039000000000001</v>
      </c>
      <c r="AK134" s="60">
        <v>14.948</v>
      </c>
      <c r="AL134" s="60">
        <f t="shared" si="158"/>
        <v>14.16525</v>
      </c>
      <c r="AM134" s="60">
        <f t="shared" si="175"/>
        <v>99.949043312745005</v>
      </c>
      <c r="AN134" s="60"/>
      <c r="AO134" s="60"/>
      <c r="AP134" s="60"/>
      <c r="AQ134" s="60">
        <f t="shared" si="176"/>
        <v>0</v>
      </c>
      <c r="AR134" s="60">
        <f t="shared" si="161"/>
        <v>99.949043312745005</v>
      </c>
      <c r="AS134" s="60" t="s">
        <v>459</v>
      </c>
      <c r="AT134" s="60">
        <v>211.86</v>
      </c>
      <c r="AU134" s="60">
        <v>0.72</v>
      </c>
      <c r="AV134" s="60">
        <f t="shared" si="177"/>
        <v>4.9697385764400002</v>
      </c>
      <c r="AW134" s="60">
        <v>50000</v>
      </c>
      <c r="AX134" s="60">
        <v>23</v>
      </c>
      <c r="AY134" s="60" t="s">
        <v>189</v>
      </c>
      <c r="AZ134" s="60">
        <v>6424.57</v>
      </c>
      <c r="BA134" s="80">
        <v>4</v>
      </c>
      <c r="BB134" s="60">
        <f t="shared" si="178"/>
        <v>11.821208800000001</v>
      </c>
      <c r="BC134" s="60">
        <v>37.44</v>
      </c>
      <c r="BD134" s="60">
        <v>34.82</v>
      </c>
      <c r="BE134" s="60">
        <v>11.88</v>
      </c>
      <c r="BF134" s="60">
        <v>6.5</v>
      </c>
      <c r="BG134" s="60"/>
      <c r="BH134" s="80">
        <f t="shared" si="179"/>
        <v>494.72531645060639</v>
      </c>
      <c r="BI134" s="60">
        <f t="shared" si="163"/>
        <v>40.329168527918789</v>
      </c>
      <c r="BJ134" s="80">
        <f t="shared" si="180"/>
        <v>552.53717953537796</v>
      </c>
      <c r="BK134" s="102">
        <f t="shared" si="181"/>
        <v>469.92287780593631</v>
      </c>
      <c r="BL134" s="43"/>
      <c r="BM134" s="43"/>
      <c r="BN134" s="33"/>
      <c r="BR134" s="127"/>
    </row>
    <row r="135" spans="1:70" ht="141" customHeight="1" x14ac:dyDescent="0.25">
      <c r="A135" s="58" t="s">
        <v>417</v>
      </c>
      <c r="B135" s="156" t="s">
        <v>364</v>
      </c>
      <c r="C135" s="156"/>
      <c r="D135" s="156"/>
      <c r="E135" s="156"/>
      <c r="F135" s="156"/>
      <c r="G135" s="45"/>
      <c r="H135" s="4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80"/>
      <c r="BI135" s="60"/>
      <c r="BJ135" s="80"/>
      <c r="BK135" s="102"/>
      <c r="BL135" s="43"/>
      <c r="BM135" s="43"/>
      <c r="BN135" s="33"/>
      <c r="BR135" s="127"/>
    </row>
    <row r="136" spans="1:70" ht="78.75" x14ac:dyDescent="0.25">
      <c r="A136" s="58"/>
      <c r="B136" s="156" t="s">
        <v>365</v>
      </c>
      <c r="C136" s="156"/>
      <c r="D136" s="156" t="s">
        <v>366</v>
      </c>
      <c r="E136" s="45">
        <v>6</v>
      </c>
      <c r="F136" s="46">
        <v>89.61</v>
      </c>
      <c r="G136" s="156">
        <v>6</v>
      </c>
      <c r="H136" s="156">
        <f>F136*G136/100</f>
        <v>5.3765999999999998</v>
      </c>
      <c r="I136" s="156"/>
      <c r="J136" s="156">
        <f>F136*I136/100</f>
        <v>0</v>
      </c>
      <c r="K136" s="156">
        <v>0</v>
      </c>
      <c r="L136" s="156">
        <f>F136*K136/100</f>
        <v>0</v>
      </c>
      <c r="M136" s="156">
        <v>0</v>
      </c>
      <c r="N136" s="156">
        <v>0</v>
      </c>
      <c r="O136" s="156">
        <f>F136*N136/100</f>
        <v>0</v>
      </c>
      <c r="P136" s="156"/>
      <c r="Q136" s="156"/>
      <c r="R136" s="156">
        <v>40</v>
      </c>
      <c r="S136" s="156">
        <f>(F136+H136+J136+L136+M136+O136+Q136)*R136/100</f>
        <v>37.994639999999997</v>
      </c>
      <c r="T136" s="156">
        <v>30</v>
      </c>
      <c r="U136" s="156">
        <f>(F136+H136+J136+L136+M136+O136+Q136+S136)*30/100</f>
        <v>39.894371999999997</v>
      </c>
      <c r="V136" s="156">
        <v>30</v>
      </c>
      <c r="W136" s="156">
        <f>U136</f>
        <v>39.894371999999997</v>
      </c>
      <c r="X136" s="60">
        <f>F136+H136+J136+L136+M136+O136+Q136+S136+U136+W136</f>
        <v>212.76998399999999</v>
      </c>
      <c r="Y136" s="60">
        <f>3000/1970</f>
        <v>1.5228426395939085</v>
      </c>
      <c r="Z136" s="60">
        <f>(X136-S136*1.6)*0.06</f>
        <v>9.1187135999999995</v>
      </c>
      <c r="AA136" s="60">
        <f>X136*0.07</f>
        <v>14.893898880000002</v>
      </c>
      <c r="AB136" s="60">
        <f>X136+Y136+Z136+AA136</f>
        <v>238.3054391195939</v>
      </c>
      <c r="AC136" s="60">
        <f>AB136*0.302</f>
        <v>71.968242614117358</v>
      </c>
      <c r="AD136" s="60">
        <f t="shared" ref="AD136:AD138" si="182">AB136*0.123</f>
        <v>29.311569011710048</v>
      </c>
      <c r="AE136" s="60">
        <f t="shared" ref="AE136:AE138" si="183">AB136*1.734*0.05</f>
        <v>20.661081571668792</v>
      </c>
      <c r="AF136" s="60" t="s">
        <v>367</v>
      </c>
      <c r="AG136" s="159">
        <v>30.677966000000001</v>
      </c>
      <c r="AH136" s="60">
        <v>16.2</v>
      </c>
      <c r="AI136" s="60">
        <v>16.2</v>
      </c>
      <c r="AJ136" s="60">
        <v>17.658000000000001</v>
      </c>
      <c r="AK136" s="60">
        <v>19.116</v>
      </c>
      <c r="AL136" s="60">
        <f>(AI136*6+AJ136*3+AK136*3)/12</f>
        <v>17.293499999999998</v>
      </c>
      <c r="AM136" s="60">
        <f>AG136*AL136</f>
        <v>530.529405021</v>
      </c>
      <c r="AN136" s="60"/>
      <c r="AO136" s="60"/>
      <c r="AP136" s="60"/>
      <c r="AQ136" s="60"/>
      <c r="AR136" s="60">
        <f>AM136+AQ136</f>
        <v>530.529405021</v>
      </c>
      <c r="AS136" s="60" t="s">
        <v>368</v>
      </c>
      <c r="AT136" s="60">
        <v>131.25</v>
      </c>
      <c r="AU136" s="60">
        <v>4.5</v>
      </c>
      <c r="AV136" s="60">
        <f>AT136*AL136*AU136/100</f>
        <v>102.13973437499999</v>
      </c>
      <c r="AW136" s="60"/>
      <c r="AX136" s="60"/>
      <c r="AY136" s="60"/>
      <c r="AZ136" s="60"/>
      <c r="BA136" s="60"/>
      <c r="BB136" s="60"/>
      <c r="BC136" s="60">
        <v>37.44</v>
      </c>
      <c r="BD136" s="60">
        <v>34.82</v>
      </c>
      <c r="BE136" s="60">
        <v>0</v>
      </c>
      <c r="BF136" s="60">
        <f>6.5*7</f>
        <v>45.5</v>
      </c>
      <c r="BG136" s="60"/>
      <c r="BH136" s="80">
        <f>AB136+AB137+AB138+AB139+AC136+AC137+AC138+AC139+AD136+AD137+AD138+AR136+AR137+AV136+AV137+BC136+BD136+BE136+BF136</f>
        <v>3068.9700773812797</v>
      </c>
      <c r="BI136" s="60">
        <f>(AB136+AB137+AB138)*0.2</f>
        <v>265.90566908751271</v>
      </c>
      <c r="BJ136" s="80">
        <f>BH136+BI136+AE136+AE137+AE138</f>
        <v>3450.1458540182293</v>
      </c>
      <c r="BK136" s="102">
        <f>BH136-AD136-AD137-AD138</f>
        <v>2905.4380908924591</v>
      </c>
      <c r="BL136" s="43"/>
      <c r="BM136" s="43"/>
      <c r="BN136" s="33"/>
      <c r="BR136" s="127"/>
    </row>
    <row r="137" spans="1:70" ht="47.25" x14ac:dyDescent="0.25">
      <c r="A137" s="58"/>
      <c r="B137" s="156"/>
      <c r="C137" s="156"/>
      <c r="D137" s="156" t="s">
        <v>369</v>
      </c>
      <c r="E137" s="45">
        <v>5</v>
      </c>
      <c r="F137" s="46">
        <v>86.44</v>
      </c>
      <c r="G137" s="156">
        <v>6</v>
      </c>
      <c r="H137" s="156">
        <f>F137*G137/100</f>
        <v>5.1863999999999999</v>
      </c>
      <c r="I137" s="156"/>
      <c r="J137" s="156">
        <f>F137*I137/100</f>
        <v>0</v>
      </c>
      <c r="K137" s="156">
        <v>0</v>
      </c>
      <c r="L137" s="156">
        <f>F137*K137/100</f>
        <v>0</v>
      </c>
      <c r="M137" s="156">
        <v>0</v>
      </c>
      <c r="N137" s="156">
        <v>0</v>
      </c>
      <c r="O137" s="156">
        <f>F137*N137/100</f>
        <v>0</v>
      </c>
      <c r="P137" s="156"/>
      <c r="Q137" s="156"/>
      <c r="R137" s="156">
        <v>40</v>
      </c>
      <c r="S137" s="156">
        <f>(F137+H137+J137+L137+M137+O137+Q137)*R137/100</f>
        <v>36.650559999999999</v>
      </c>
      <c r="T137" s="156">
        <v>30</v>
      </c>
      <c r="U137" s="156">
        <f>(F137+H137+J137+L137+M137+O137+Q137+S137)*30/100</f>
        <v>38.483088000000002</v>
      </c>
      <c r="V137" s="156">
        <v>30</v>
      </c>
      <c r="W137" s="156">
        <f>U137</f>
        <v>38.483088000000002</v>
      </c>
      <c r="X137" s="60">
        <f>(F137+H137+J137+L137+M137+O137+Q137+S137+U137+W137)*2</f>
        <v>410.48627200000004</v>
      </c>
      <c r="Y137" s="60">
        <f>3000/1970*2</f>
        <v>3.0456852791878171</v>
      </c>
      <c r="Z137" s="60">
        <f>(X137-S137*1.6*2)*0.06</f>
        <v>17.592268800000003</v>
      </c>
      <c r="AA137" s="60">
        <f>X137*0.07</f>
        <v>28.734039040000006</v>
      </c>
      <c r="AB137" s="60">
        <f>X137+Y137+Z137+AA137</f>
        <v>459.85826511918788</v>
      </c>
      <c r="AC137" s="60">
        <f>AB137*0.302</f>
        <v>138.87719606599472</v>
      </c>
      <c r="AD137" s="60">
        <f t="shared" si="182"/>
        <v>56.562566609660109</v>
      </c>
      <c r="AE137" s="60">
        <f t="shared" si="183"/>
        <v>39.869711585833592</v>
      </c>
      <c r="AF137" s="60" t="s">
        <v>84</v>
      </c>
      <c r="AG137" s="159">
        <v>29.524999999999999</v>
      </c>
      <c r="AH137" s="60">
        <v>3</v>
      </c>
      <c r="AI137" s="60">
        <v>3</v>
      </c>
      <c r="AJ137" s="60">
        <v>3.2700000000000005</v>
      </c>
      <c r="AK137" s="60">
        <v>3.54</v>
      </c>
      <c r="AL137" s="60">
        <f>(AI137*6+AJ137*3+AK137*3)/12</f>
        <v>3.2025000000000006</v>
      </c>
      <c r="AM137" s="60">
        <f>AG137*AL137</f>
        <v>94.553812500000006</v>
      </c>
      <c r="AN137" s="60"/>
      <c r="AO137" s="60"/>
      <c r="AP137" s="60"/>
      <c r="AQ137" s="60"/>
      <c r="AR137" s="60">
        <f>AM137+AQ137</f>
        <v>94.553812500000006</v>
      </c>
      <c r="AS137" s="60" t="s">
        <v>174</v>
      </c>
      <c r="AT137" s="60">
        <v>49.93</v>
      </c>
      <c r="AU137" s="60">
        <v>2.4</v>
      </c>
      <c r="AV137" s="60">
        <f>AT137*AL137*AU137/100</f>
        <v>3.8376198000000006</v>
      </c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80"/>
      <c r="BI137" s="60"/>
      <c r="BJ137" s="80"/>
      <c r="BK137" s="102"/>
      <c r="BL137" s="43"/>
      <c r="BM137" s="43"/>
      <c r="BN137" s="33"/>
      <c r="BR137" s="127"/>
    </row>
    <row r="138" spans="1:70" ht="31.5" x14ac:dyDescent="0.25">
      <c r="A138" s="58"/>
      <c r="B138" s="156"/>
      <c r="C138" s="156"/>
      <c r="D138" s="156" t="s">
        <v>370</v>
      </c>
      <c r="E138" s="45">
        <v>4</v>
      </c>
      <c r="F138" s="46">
        <v>79.069999999999993</v>
      </c>
      <c r="G138" s="156">
        <v>6</v>
      </c>
      <c r="H138" s="156">
        <f>F138*G138/100</f>
        <v>4.7441999999999993</v>
      </c>
      <c r="I138" s="156"/>
      <c r="J138" s="156">
        <f>F138*I138/100</f>
        <v>0</v>
      </c>
      <c r="K138" s="156">
        <v>0</v>
      </c>
      <c r="L138" s="156">
        <f>F138*K138/100</f>
        <v>0</v>
      </c>
      <c r="M138" s="156">
        <v>0</v>
      </c>
      <c r="N138" s="156">
        <v>0</v>
      </c>
      <c r="O138" s="156">
        <f>F138*N138/100</f>
        <v>0</v>
      </c>
      <c r="P138" s="156"/>
      <c r="Q138" s="156"/>
      <c r="R138" s="156">
        <v>40</v>
      </c>
      <c r="S138" s="156">
        <f>(F138+H138+J138+L138+M138+O138+Q138)*R138/100</f>
        <v>33.525680000000001</v>
      </c>
      <c r="T138" s="156">
        <v>30</v>
      </c>
      <c r="U138" s="156">
        <f>(F138+H138+J138+L138+M138+O138+Q138+S138)*30/100</f>
        <v>35.201963999999997</v>
      </c>
      <c r="V138" s="156">
        <v>30</v>
      </c>
      <c r="W138" s="156">
        <f>U138</f>
        <v>35.201963999999997</v>
      </c>
      <c r="X138" s="60">
        <f>(F138+H138+J138+L138+M138+O138+Q138+S138+U138+W138)*3</f>
        <v>563.23142400000006</v>
      </c>
      <c r="Y138" s="60">
        <f>3000/1970*3</f>
        <v>4.5685279187817258</v>
      </c>
      <c r="Z138" s="60">
        <f>(X138-S138*1.6*3)*0.06</f>
        <v>24.138489600000003</v>
      </c>
      <c r="AA138" s="60">
        <f>X138*0.07</f>
        <v>39.426199680000011</v>
      </c>
      <c r="AB138" s="60">
        <f>X138+Y138+Z138+AA138</f>
        <v>631.36464119878167</v>
      </c>
      <c r="AC138" s="60">
        <f>AB138*0.302</f>
        <v>190.67212164203207</v>
      </c>
      <c r="AD138" s="60">
        <f t="shared" si="182"/>
        <v>77.657850867450151</v>
      </c>
      <c r="AE138" s="60">
        <f t="shared" si="183"/>
        <v>54.739314391934379</v>
      </c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80"/>
      <c r="BI138" s="60"/>
      <c r="BJ138" s="80"/>
      <c r="BK138" s="102"/>
      <c r="BL138" s="43"/>
      <c r="BM138" s="43"/>
      <c r="BN138" s="33"/>
      <c r="BR138" s="127"/>
    </row>
    <row r="139" spans="1:70" ht="47.25" x14ac:dyDescent="0.25">
      <c r="A139" s="58"/>
      <c r="B139" s="156"/>
      <c r="C139" s="156"/>
      <c r="D139" s="156" t="s">
        <v>371</v>
      </c>
      <c r="E139" s="45"/>
      <c r="F139" s="46">
        <v>99.7</v>
      </c>
      <c r="G139" s="156">
        <v>0</v>
      </c>
      <c r="H139" s="156">
        <f>F139*G139/100</f>
        <v>0</v>
      </c>
      <c r="I139" s="156"/>
      <c r="J139" s="156">
        <f>F139*I139/100</f>
        <v>0</v>
      </c>
      <c r="K139" s="156">
        <v>0</v>
      </c>
      <c r="L139" s="156">
        <f>F139*K139/100</f>
        <v>0</v>
      </c>
      <c r="M139" s="156">
        <v>0</v>
      </c>
      <c r="N139" s="156">
        <v>0</v>
      </c>
      <c r="O139" s="156">
        <f>F139*N139/100</f>
        <v>0</v>
      </c>
      <c r="P139" s="156"/>
      <c r="Q139" s="156"/>
      <c r="R139" s="156">
        <v>40</v>
      </c>
      <c r="S139" s="156">
        <f>(F139+H139+J139+L139+M139+O139+Q139)*R139/100</f>
        <v>39.880000000000003</v>
      </c>
      <c r="T139" s="156">
        <v>30</v>
      </c>
      <c r="U139" s="156">
        <f>(F139+H139+J139+L139+M139+O139+Q139+S139)*30/100</f>
        <v>41.874000000000002</v>
      </c>
      <c r="V139" s="156">
        <v>30</v>
      </c>
      <c r="W139" s="156">
        <f>U139</f>
        <v>41.874000000000002</v>
      </c>
      <c r="X139" s="60">
        <f>F139+H139+J139+L139+M139+O139+Q139+S139+U139+W139</f>
        <v>223.328</v>
      </c>
      <c r="Y139" s="60">
        <f>3000/1970</f>
        <v>1.5228426395939085</v>
      </c>
      <c r="Z139" s="60">
        <f>(X139-S139*1.6)*0.06</f>
        <v>9.5711999999999993</v>
      </c>
      <c r="AA139" s="60">
        <f>X139*0.07</f>
        <v>15.632960000000002</v>
      </c>
      <c r="AB139" s="60">
        <f>X139+Y139+Z139+AA139</f>
        <v>250.05500263959391</v>
      </c>
      <c r="AC139" s="60">
        <f>AB139*0.302</f>
        <v>75.516610797157355</v>
      </c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80"/>
      <c r="BI139" s="60"/>
      <c r="BJ139" s="80"/>
      <c r="BK139" s="102"/>
      <c r="BL139" s="43"/>
      <c r="BM139" s="43"/>
      <c r="BN139" s="33"/>
      <c r="BR139" s="127"/>
    </row>
    <row r="140" spans="1:70" ht="109.5" customHeight="1" x14ac:dyDescent="0.25">
      <c r="A140" s="58"/>
      <c r="B140" s="78" t="s">
        <v>372</v>
      </c>
      <c r="C140" s="156"/>
      <c r="D140" s="156"/>
      <c r="E140" s="156"/>
      <c r="F140" s="60"/>
      <c r="G140" s="156"/>
      <c r="H140" s="101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121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>
        <f>BJ58+BJ78</f>
        <v>1635.7521270983611</v>
      </c>
      <c r="BH140" s="80">
        <f>BH136+BG140</f>
        <v>4704.7222044796408</v>
      </c>
      <c r="BI140" s="60"/>
      <c r="BJ140" s="80">
        <f>BJ136+BG140</f>
        <v>5085.89798111659</v>
      </c>
      <c r="BK140" s="102">
        <f>BK136+BG140</f>
        <v>4541.1902179908202</v>
      </c>
      <c r="BL140" s="43"/>
      <c r="BM140" s="43"/>
      <c r="BN140" s="33"/>
      <c r="BR140" s="127"/>
    </row>
    <row r="141" spans="1:70" ht="134.25" customHeight="1" x14ac:dyDescent="0.25">
      <c r="A141" s="37" t="s">
        <v>418</v>
      </c>
      <c r="B141" s="156" t="s">
        <v>373</v>
      </c>
      <c r="C141" s="156"/>
      <c r="D141" s="156"/>
      <c r="E141" s="45"/>
      <c r="F141" s="4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80"/>
      <c r="BI141" s="60"/>
      <c r="BJ141" s="80"/>
      <c r="BK141" s="102"/>
      <c r="BL141" s="43"/>
      <c r="BM141" s="43"/>
      <c r="BN141" s="33"/>
      <c r="BR141" s="127"/>
    </row>
    <row r="142" spans="1:70" ht="78.75" x14ac:dyDescent="0.25">
      <c r="A142" s="37"/>
      <c r="B142" s="156" t="s">
        <v>365</v>
      </c>
      <c r="C142" s="156"/>
      <c r="D142" s="156" t="s">
        <v>366</v>
      </c>
      <c r="E142" s="45">
        <v>6</v>
      </c>
      <c r="F142" s="46">
        <v>89.61</v>
      </c>
      <c r="G142" s="156">
        <v>6</v>
      </c>
      <c r="H142" s="156">
        <f>F142*G142/100</f>
        <v>5.3765999999999998</v>
      </c>
      <c r="I142" s="156"/>
      <c r="J142" s="156">
        <f>F142*I142/100</f>
        <v>0</v>
      </c>
      <c r="K142" s="156">
        <v>0</v>
      </c>
      <c r="L142" s="156">
        <f>F142*K142/100</f>
        <v>0</v>
      </c>
      <c r="M142" s="156">
        <v>0</v>
      </c>
      <c r="N142" s="156">
        <v>0</v>
      </c>
      <c r="O142" s="156">
        <f>F142*N142/100</f>
        <v>0</v>
      </c>
      <c r="P142" s="156"/>
      <c r="Q142" s="156"/>
      <c r="R142" s="156">
        <v>40</v>
      </c>
      <c r="S142" s="156">
        <f>(F142+H142+J142+L142+M142+O142+Q142)*R142/100</f>
        <v>37.994639999999997</v>
      </c>
      <c r="T142" s="156">
        <v>30</v>
      </c>
      <c r="U142" s="156">
        <f>(F142+H142+J142+L142+M142+O142+Q142+S142)*30/100</f>
        <v>39.894371999999997</v>
      </c>
      <c r="V142" s="156">
        <v>30</v>
      </c>
      <c r="W142" s="156">
        <f>U142</f>
        <v>39.894371999999997</v>
      </c>
      <c r="X142" s="60">
        <f>F142+H142+J142+L142+M142+O142+Q142+S142+U142+W142</f>
        <v>212.76998399999999</v>
      </c>
      <c r="Y142" s="60">
        <f>3000/1970</f>
        <v>1.5228426395939085</v>
      </c>
      <c r="Z142" s="60">
        <f>(X142-S142*1.6)*0.06</f>
        <v>9.1187135999999995</v>
      </c>
      <c r="AA142" s="60">
        <f>X142*0.07</f>
        <v>14.893898880000002</v>
      </c>
      <c r="AB142" s="60">
        <f>X142+Y142+Z142+AA142</f>
        <v>238.3054391195939</v>
      </c>
      <c r="AC142" s="60">
        <f>AB142*0.302</f>
        <v>71.968242614117358</v>
      </c>
      <c r="AD142" s="60">
        <f t="shared" ref="AD142:AD144" si="184">AB142*0.123</f>
        <v>29.311569011710048</v>
      </c>
      <c r="AE142" s="60">
        <f t="shared" ref="AE142:AE144" si="185">AB142*1.734*0.05</f>
        <v>20.661081571668792</v>
      </c>
      <c r="AF142" s="60" t="s">
        <v>367</v>
      </c>
      <c r="AG142" s="159">
        <v>30.677966000000001</v>
      </c>
      <c r="AH142" s="60">
        <v>4.5</v>
      </c>
      <c r="AI142" s="60">
        <v>4.5</v>
      </c>
      <c r="AJ142" s="60">
        <v>4.9050000000000002</v>
      </c>
      <c r="AK142" s="60">
        <v>5.31</v>
      </c>
      <c r="AL142" s="60">
        <f>(AI142*6+AJ142*3+AK142*3)/12</f>
        <v>4.80375</v>
      </c>
      <c r="AM142" s="60">
        <f>AG142*AL142</f>
        <v>147.3692791725</v>
      </c>
      <c r="AN142" s="60"/>
      <c r="AO142" s="60"/>
      <c r="AP142" s="60"/>
      <c r="AQ142" s="60"/>
      <c r="AR142" s="60">
        <f>AM142+AQ142</f>
        <v>147.3692791725</v>
      </c>
      <c r="AS142" s="60" t="s">
        <v>368</v>
      </c>
      <c r="AT142" s="60">
        <v>131.25</v>
      </c>
      <c r="AU142" s="60">
        <v>4.5</v>
      </c>
      <c r="AV142" s="60">
        <f>AT142*AL142*AU142/100</f>
        <v>28.372148437500002</v>
      </c>
      <c r="AW142" s="60"/>
      <c r="AX142" s="60"/>
      <c r="AY142" s="60"/>
      <c r="AZ142" s="60"/>
      <c r="BA142" s="60"/>
      <c r="BB142" s="60"/>
      <c r="BC142" s="60">
        <v>37.44</v>
      </c>
      <c r="BD142" s="60">
        <v>34.82</v>
      </c>
      <c r="BE142" s="60">
        <v>0</v>
      </c>
      <c r="BF142" s="60">
        <f>4*6.5</f>
        <v>26</v>
      </c>
      <c r="BG142" s="60"/>
      <c r="BH142" s="80">
        <f>AB142+AB143+AB144+AB145+AC142+AC143+AC144+AC145+AD142+AD143+AD144+AR142+AR143+AV142+AV143+BC142+BD142+BE142+BF142</f>
        <v>1601.7148037530153</v>
      </c>
      <c r="BI142" s="60">
        <f>0.2*(AB142+AB143+AB144)</f>
        <v>133.74681355175636</v>
      </c>
      <c r="BJ142" s="80">
        <f>BH142+BI142+AE142+AE143+AE144</f>
        <v>1793.440860979458</v>
      </c>
      <c r="BK142" s="102">
        <f>BH142-AD142-AD143-AD144</f>
        <v>1519.4605134186852</v>
      </c>
      <c r="BL142" s="43"/>
      <c r="BM142" s="43"/>
      <c r="BN142" s="33"/>
      <c r="BR142" s="127"/>
    </row>
    <row r="143" spans="1:70" ht="47.25" x14ac:dyDescent="0.25">
      <c r="A143" s="58"/>
      <c r="B143" s="156"/>
      <c r="C143" s="156"/>
      <c r="D143" s="156" t="s">
        <v>366</v>
      </c>
      <c r="E143" s="45">
        <v>5</v>
      </c>
      <c r="F143" s="46">
        <v>86.44</v>
      </c>
      <c r="G143" s="156">
        <v>6</v>
      </c>
      <c r="H143" s="156">
        <f>F143*G143/100</f>
        <v>5.1863999999999999</v>
      </c>
      <c r="I143" s="156"/>
      <c r="J143" s="156">
        <f>F143*I143/100</f>
        <v>0</v>
      </c>
      <c r="K143" s="156">
        <v>0</v>
      </c>
      <c r="L143" s="156">
        <f>F143*K143/100</f>
        <v>0</v>
      </c>
      <c r="M143" s="156">
        <v>0</v>
      </c>
      <c r="N143" s="156">
        <v>0</v>
      </c>
      <c r="O143" s="156">
        <f>F143*N143/100</f>
        <v>0</v>
      </c>
      <c r="P143" s="156"/>
      <c r="Q143" s="156"/>
      <c r="R143" s="156">
        <v>40</v>
      </c>
      <c r="S143" s="156">
        <f>(F143+H143+J143+L143+M143+O143+Q143)*R143/100</f>
        <v>36.650559999999999</v>
      </c>
      <c r="T143" s="156">
        <v>30</v>
      </c>
      <c r="U143" s="156">
        <f>(F143+H143+J143+L143+M143+O143+Q143+S143)*30/100</f>
        <v>38.483088000000002</v>
      </c>
      <c r="V143" s="156">
        <v>30</v>
      </c>
      <c r="W143" s="156">
        <f>U143</f>
        <v>38.483088000000002</v>
      </c>
      <c r="X143" s="60">
        <f>(F143+H143+J143+L143+M143+O143+Q143+S143+U143+W143)*1</f>
        <v>205.24313600000002</v>
      </c>
      <c r="Y143" s="60">
        <f>3000/1970*1</f>
        <v>1.5228426395939085</v>
      </c>
      <c r="Z143" s="60">
        <f>(X143-S143*1.6*2)*0.06</f>
        <v>5.2776806400000016</v>
      </c>
      <c r="AA143" s="60">
        <f>X143*0.07</f>
        <v>14.367019520000003</v>
      </c>
      <c r="AB143" s="60">
        <f>X143+Y143+Z143+AA143</f>
        <v>226.41067879959394</v>
      </c>
      <c r="AC143" s="60">
        <f>AB143*0.302</f>
        <v>68.376024997477373</v>
      </c>
      <c r="AD143" s="60">
        <f t="shared" si="184"/>
        <v>27.848513492350055</v>
      </c>
      <c r="AE143" s="60">
        <f t="shared" si="185"/>
        <v>19.629805851924797</v>
      </c>
      <c r="AF143" s="60" t="s">
        <v>84</v>
      </c>
      <c r="AG143" s="159">
        <v>29.524999999999999</v>
      </c>
      <c r="AH143" s="60">
        <v>1.5</v>
      </c>
      <c r="AI143" s="60">
        <v>1.5</v>
      </c>
      <c r="AJ143" s="60">
        <v>1.6350000000000002</v>
      </c>
      <c r="AK143" s="60">
        <v>1.77</v>
      </c>
      <c r="AL143" s="60">
        <f>(AI143*6+AJ143*3+AK143*3)/12</f>
        <v>1.6012500000000003</v>
      </c>
      <c r="AM143" s="60">
        <f>AG143*AL143</f>
        <v>47.276906250000003</v>
      </c>
      <c r="AN143" s="60"/>
      <c r="AO143" s="60"/>
      <c r="AP143" s="60"/>
      <c r="AQ143" s="60"/>
      <c r="AR143" s="60">
        <f>AM143+AQ143</f>
        <v>47.276906250000003</v>
      </c>
      <c r="AS143" s="60" t="s">
        <v>174</v>
      </c>
      <c r="AT143" s="60">
        <v>49.93</v>
      </c>
      <c r="AU143" s="60">
        <v>2.4</v>
      </c>
      <c r="AV143" s="60">
        <f>AT143*AL143*AU143/100</f>
        <v>1.9188099000000003</v>
      </c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80"/>
      <c r="BI143" s="60"/>
      <c r="BJ143" s="80"/>
      <c r="BK143" s="102"/>
      <c r="BL143" s="43"/>
      <c r="BM143" s="43"/>
      <c r="BN143" s="33"/>
      <c r="BR143" s="127"/>
    </row>
    <row r="144" spans="1:70" ht="42" customHeight="1" x14ac:dyDescent="0.25">
      <c r="A144" s="92"/>
      <c r="B144" s="156"/>
      <c r="C144" s="156"/>
      <c r="D144" s="156" t="s">
        <v>366</v>
      </c>
      <c r="E144" s="45">
        <v>4</v>
      </c>
      <c r="F144" s="46">
        <v>79.069999999999993</v>
      </c>
      <c r="G144" s="156">
        <v>6</v>
      </c>
      <c r="H144" s="156">
        <f>F144*G144/100</f>
        <v>4.7441999999999993</v>
      </c>
      <c r="I144" s="156"/>
      <c r="J144" s="156">
        <f>F144*I144/100</f>
        <v>0</v>
      </c>
      <c r="K144" s="156">
        <v>0</v>
      </c>
      <c r="L144" s="156">
        <f>F144*K144/100</f>
        <v>0</v>
      </c>
      <c r="M144" s="156">
        <v>0</v>
      </c>
      <c r="N144" s="156">
        <v>0</v>
      </c>
      <c r="O144" s="156">
        <f>F144*N144/100</f>
        <v>0</v>
      </c>
      <c r="P144" s="156"/>
      <c r="Q144" s="156"/>
      <c r="R144" s="156">
        <v>40</v>
      </c>
      <c r="S144" s="156">
        <f>(F144+H144+J144+L144+M144+O144+Q144)*R144/100</f>
        <v>33.525680000000001</v>
      </c>
      <c r="T144" s="156">
        <v>30</v>
      </c>
      <c r="U144" s="156">
        <f>(F144+H144+J144+L144+M144+O144+Q144+S144)*30/100</f>
        <v>35.201963999999997</v>
      </c>
      <c r="V144" s="156">
        <v>30</v>
      </c>
      <c r="W144" s="156">
        <f>U144</f>
        <v>35.201963999999997</v>
      </c>
      <c r="X144" s="60">
        <f>(F144+H144+J144+L144+M144+O144+Q144+S144+U144+W144)*1</f>
        <v>187.743808</v>
      </c>
      <c r="Y144" s="60">
        <f>3000/1970*1</f>
        <v>1.5228426395939085</v>
      </c>
      <c r="Z144" s="60">
        <f>(X144-S144*1.6*3)*0.06</f>
        <v>1.609232639999999</v>
      </c>
      <c r="AA144" s="60">
        <f>X144*0.07</f>
        <v>13.142066560000002</v>
      </c>
      <c r="AB144" s="60">
        <f>X144+Y144+Z144+AA144</f>
        <v>204.01794983959388</v>
      </c>
      <c r="AC144" s="60">
        <f>AB144*0.302</f>
        <v>61.61342085155735</v>
      </c>
      <c r="AD144" s="60">
        <f t="shared" si="184"/>
        <v>25.094207830270047</v>
      </c>
      <c r="AE144" s="60">
        <f t="shared" si="185"/>
        <v>17.688356251092792</v>
      </c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80"/>
      <c r="BI144" s="60"/>
      <c r="BJ144" s="80"/>
      <c r="BK144" s="102"/>
      <c r="BL144" s="43"/>
      <c r="BM144" s="43"/>
      <c r="BN144" s="33"/>
      <c r="BR144" s="127"/>
    </row>
    <row r="145" spans="1:70" ht="51" customHeight="1" x14ac:dyDescent="0.25">
      <c r="A145" s="37"/>
      <c r="B145" s="156"/>
      <c r="C145" s="156"/>
      <c r="D145" s="156" t="s">
        <v>374</v>
      </c>
      <c r="E145" s="45"/>
      <c r="F145" s="46">
        <v>99.7</v>
      </c>
      <c r="G145" s="156">
        <v>0</v>
      </c>
      <c r="H145" s="156">
        <f>F145*G145/100</f>
        <v>0</v>
      </c>
      <c r="I145" s="156"/>
      <c r="J145" s="156">
        <f>F145*I145/100</f>
        <v>0</v>
      </c>
      <c r="K145" s="156">
        <v>0</v>
      </c>
      <c r="L145" s="156">
        <f>F145*K145/100</f>
        <v>0</v>
      </c>
      <c r="M145" s="156">
        <v>0</v>
      </c>
      <c r="N145" s="156">
        <v>0</v>
      </c>
      <c r="O145" s="156">
        <f>F145*N145/100</f>
        <v>0</v>
      </c>
      <c r="P145" s="156"/>
      <c r="Q145" s="156"/>
      <c r="R145" s="156">
        <v>40</v>
      </c>
      <c r="S145" s="156">
        <f>(F145+H145+J145+L145+M145+O145+Q145)*R145/100</f>
        <v>39.880000000000003</v>
      </c>
      <c r="T145" s="156">
        <v>30</v>
      </c>
      <c r="U145" s="156">
        <f>(F145+H145+J145+L145+M145+O145+Q145+S145)*30/100</f>
        <v>41.874000000000002</v>
      </c>
      <c r="V145" s="156">
        <v>30</v>
      </c>
      <c r="W145" s="156">
        <f>U145</f>
        <v>41.874000000000002</v>
      </c>
      <c r="X145" s="60">
        <f>F145+H145+J145+L145+M145+O145+Q145+S145+U145+W145</f>
        <v>223.328</v>
      </c>
      <c r="Y145" s="60">
        <f>3000/1970</f>
        <v>1.5228426395939085</v>
      </c>
      <c r="Z145" s="60">
        <f>(X145-S145*1.6)*0.06</f>
        <v>9.5711999999999993</v>
      </c>
      <c r="AA145" s="60">
        <f>X145*0.07</f>
        <v>15.632960000000002</v>
      </c>
      <c r="AB145" s="60">
        <f>X145+Y145+Z145+AA145</f>
        <v>250.05500263959391</v>
      </c>
      <c r="AC145" s="60">
        <f>AB145*0.302</f>
        <v>75.516610797157355</v>
      </c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80"/>
      <c r="BI145" s="60"/>
      <c r="BJ145" s="80"/>
      <c r="BK145" s="102"/>
      <c r="BL145" s="43"/>
      <c r="BM145" s="43"/>
      <c r="BN145" s="33"/>
      <c r="BR145" s="127"/>
    </row>
    <row r="146" spans="1:70" ht="63" x14ac:dyDescent="0.25">
      <c r="A146" s="37"/>
      <c r="B146" s="156" t="s">
        <v>375</v>
      </c>
      <c r="C146" s="104"/>
      <c r="D146" s="156"/>
      <c r="E146" s="45"/>
      <c r="F146" s="4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>
        <f>BJ78</f>
        <v>806.27779400819884</v>
      </c>
      <c r="BH146" s="80">
        <f>BH142+BG146</f>
        <v>2407.9925977612143</v>
      </c>
      <c r="BI146" s="60"/>
      <c r="BJ146" s="80">
        <f>BJ142+BG146</f>
        <v>2599.7186549876569</v>
      </c>
      <c r="BK146" s="102">
        <f>BK142+BG146</f>
        <v>2325.7383074268841</v>
      </c>
      <c r="BL146" s="43"/>
      <c r="BM146" s="43"/>
      <c r="BN146" s="33"/>
      <c r="BR146" s="127"/>
    </row>
    <row r="147" spans="1:70" ht="152.25" customHeight="1" x14ac:dyDescent="0.25">
      <c r="A147" s="37" t="s">
        <v>419</v>
      </c>
      <c r="B147" s="156" t="s">
        <v>422</v>
      </c>
      <c r="C147" s="156"/>
      <c r="D147" s="156"/>
      <c r="E147" s="156"/>
      <c r="F147" s="156"/>
      <c r="G147" s="45"/>
      <c r="H147" s="4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80"/>
      <c r="BI147" s="60"/>
      <c r="BJ147" s="80"/>
      <c r="BK147" s="102"/>
      <c r="BL147" s="43"/>
      <c r="BM147" s="43"/>
      <c r="BN147" s="33"/>
      <c r="BR147" s="127"/>
    </row>
    <row r="148" spans="1:70" ht="78.75" x14ac:dyDescent="0.25">
      <c r="A148" s="37"/>
      <c r="B148" s="156" t="s">
        <v>365</v>
      </c>
      <c r="C148" s="156" t="s">
        <v>423</v>
      </c>
      <c r="D148" s="156" t="s">
        <v>366</v>
      </c>
      <c r="E148" s="45">
        <v>6</v>
      </c>
      <c r="F148" s="46">
        <v>89.61</v>
      </c>
      <c r="G148" s="156">
        <v>6</v>
      </c>
      <c r="H148" s="156">
        <f>F148*G148/100</f>
        <v>5.3765999999999998</v>
      </c>
      <c r="I148" s="156"/>
      <c r="J148" s="156">
        <f>F148*I148/100</f>
        <v>0</v>
      </c>
      <c r="K148" s="156">
        <v>0</v>
      </c>
      <c r="L148" s="156">
        <f>F148*K148/100</f>
        <v>0</v>
      </c>
      <c r="M148" s="156">
        <v>0</v>
      </c>
      <c r="N148" s="156">
        <v>0</v>
      </c>
      <c r="O148" s="156">
        <f>F148*N148/100</f>
        <v>0</v>
      </c>
      <c r="P148" s="156"/>
      <c r="Q148" s="156"/>
      <c r="R148" s="156">
        <v>40</v>
      </c>
      <c r="S148" s="156">
        <f>(F148+H148+J148+L148+M148+O148+Q148)*R148/100</f>
        <v>37.994639999999997</v>
      </c>
      <c r="T148" s="156">
        <v>30</v>
      </c>
      <c r="U148" s="156">
        <f>(F148+H148+J148+L148+M148+O148+Q148+S148)*30/100</f>
        <v>39.894371999999997</v>
      </c>
      <c r="V148" s="156">
        <v>30</v>
      </c>
      <c r="W148" s="156">
        <f>U148</f>
        <v>39.894371999999997</v>
      </c>
      <c r="X148" s="60">
        <f>F148+H148+J148+L148+M148+O148+Q148+S148+U148+W148</f>
        <v>212.76998399999999</v>
      </c>
      <c r="Y148" s="60">
        <f>3000/1970</f>
        <v>1.5228426395939085</v>
      </c>
      <c r="Z148" s="60">
        <f>(X148-S148*1.6)*0.06</f>
        <v>9.1187135999999995</v>
      </c>
      <c r="AA148" s="60">
        <f>X148*0.07</f>
        <v>14.893898880000002</v>
      </c>
      <c r="AB148" s="60">
        <f>X148+Y148+Z148+AA148</f>
        <v>238.3054391195939</v>
      </c>
      <c r="AC148" s="60">
        <f>AB148*0.302</f>
        <v>71.968242614117358</v>
      </c>
      <c r="AD148" s="60">
        <f t="shared" ref="AD148:AD150" si="186">AB148*0.123</f>
        <v>29.311569011710048</v>
      </c>
      <c r="AE148" s="60">
        <f t="shared" ref="AE148:AE150" si="187">AB148*1.734*0.05</f>
        <v>20.661081571668792</v>
      </c>
      <c r="AF148" s="60" t="s">
        <v>367</v>
      </c>
      <c r="AG148" s="159">
        <v>30.677966000000001</v>
      </c>
      <c r="AH148" s="60">
        <v>8.6</v>
      </c>
      <c r="AI148" s="60">
        <v>8.6</v>
      </c>
      <c r="AJ148" s="60">
        <v>9.3740000000000006</v>
      </c>
      <c r="AK148" s="60">
        <v>10.148</v>
      </c>
      <c r="AL148" s="60">
        <f>(AI148*6+AJ148*3+AK148*3)/12</f>
        <v>9.1805000000000003</v>
      </c>
      <c r="AM148" s="60">
        <f>AG148*AL148</f>
        <v>281.63906686300004</v>
      </c>
      <c r="AN148" s="60"/>
      <c r="AO148" s="60"/>
      <c r="AP148" s="60"/>
      <c r="AQ148" s="60"/>
      <c r="AR148" s="60">
        <f>AM148+AQ148</f>
        <v>281.63906686300004</v>
      </c>
      <c r="AS148" s="60" t="s">
        <v>368</v>
      </c>
      <c r="AT148" s="60">
        <v>131.25</v>
      </c>
      <c r="AU148" s="60">
        <v>4.5</v>
      </c>
      <c r="AV148" s="60">
        <f>AT148*AL148*AU148/100</f>
        <v>54.222328124999997</v>
      </c>
      <c r="AW148" s="60"/>
      <c r="AX148" s="60"/>
      <c r="AY148" s="60"/>
      <c r="AZ148" s="60"/>
      <c r="BA148" s="60"/>
      <c r="BB148" s="60"/>
      <c r="BC148" s="60">
        <v>37.44</v>
      </c>
      <c r="BD148" s="60">
        <v>34.82</v>
      </c>
      <c r="BE148" s="60">
        <v>478.38</v>
      </c>
      <c r="BF148" s="60">
        <f>6.5*7</f>
        <v>45.5</v>
      </c>
      <c r="BG148" s="60"/>
      <c r="BH148" s="80">
        <f>AB148+AB149+AB150+AB151+AC148+AC149+AC150+AC151+AD148+AD149+AD150+AR148+AR149+AV148+AV149+BC148+BD148+BE148+BF148</f>
        <v>3201.3466168232799</v>
      </c>
      <c r="BI148" s="60">
        <f>(AB148+AB149+AB150)*0.2</f>
        <v>265.90566908751271</v>
      </c>
      <c r="BJ148" s="80">
        <f>BH148+BI148+AE148+AE149+AE150</f>
        <v>3582.5223934602295</v>
      </c>
      <c r="BK148" s="102">
        <f>BH148-AD148-AD149-AD150</f>
        <v>3037.8146303344593</v>
      </c>
      <c r="BL148" s="43"/>
      <c r="BM148" s="43"/>
      <c r="BN148" s="33"/>
      <c r="BR148" s="127"/>
    </row>
    <row r="149" spans="1:70" ht="47.25" x14ac:dyDescent="0.25">
      <c r="A149" s="58"/>
      <c r="B149" s="156"/>
      <c r="C149" s="156"/>
      <c r="D149" s="156" t="s">
        <v>369</v>
      </c>
      <c r="E149" s="45">
        <v>5</v>
      </c>
      <c r="F149" s="46">
        <v>86.44</v>
      </c>
      <c r="G149" s="156">
        <v>6</v>
      </c>
      <c r="H149" s="156">
        <f>F149*G149/100</f>
        <v>5.1863999999999999</v>
      </c>
      <c r="I149" s="156"/>
      <c r="J149" s="156">
        <f>F149*I149/100</f>
        <v>0</v>
      </c>
      <c r="K149" s="156">
        <v>0</v>
      </c>
      <c r="L149" s="156">
        <f>F149*K149/100</f>
        <v>0</v>
      </c>
      <c r="M149" s="156">
        <v>0</v>
      </c>
      <c r="N149" s="156">
        <v>0</v>
      </c>
      <c r="O149" s="156">
        <f>F149*N149/100</f>
        <v>0</v>
      </c>
      <c r="P149" s="156"/>
      <c r="Q149" s="156"/>
      <c r="R149" s="156">
        <v>40</v>
      </c>
      <c r="S149" s="156">
        <f>(F149+H149+J149+L149+M149+O149+Q149)*R149/100</f>
        <v>36.650559999999999</v>
      </c>
      <c r="T149" s="156">
        <v>30</v>
      </c>
      <c r="U149" s="156">
        <f>(F149+H149+J149+L149+M149+O149+Q149+S149)*30/100</f>
        <v>38.483088000000002</v>
      </c>
      <c r="V149" s="156">
        <v>30</v>
      </c>
      <c r="W149" s="156">
        <f>U149</f>
        <v>38.483088000000002</v>
      </c>
      <c r="X149" s="60">
        <f>(F149+H149+J149+L149+M149+O149+Q149+S149+U149+W149)*2</f>
        <v>410.48627200000004</v>
      </c>
      <c r="Y149" s="60">
        <f>3000/1970*2</f>
        <v>3.0456852791878171</v>
      </c>
      <c r="Z149" s="60">
        <f>(X149-S149*1.6*2)*0.06</f>
        <v>17.592268800000003</v>
      </c>
      <c r="AA149" s="60">
        <f>X149*0.07</f>
        <v>28.734039040000006</v>
      </c>
      <c r="AB149" s="60">
        <f>X149+Y149+Z149+AA149</f>
        <v>459.85826511918788</v>
      </c>
      <c r="AC149" s="60">
        <f>AB149*0.302</f>
        <v>138.87719606599472</v>
      </c>
      <c r="AD149" s="60">
        <f t="shared" si="186"/>
        <v>56.562566609660109</v>
      </c>
      <c r="AE149" s="60">
        <f t="shared" si="187"/>
        <v>39.869711585833592</v>
      </c>
      <c r="AF149" s="60" t="s">
        <v>84</v>
      </c>
      <c r="AG149" s="159">
        <v>29.524999999999999</v>
      </c>
      <c r="AH149" s="60">
        <v>1.5</v>
      </c>
      <c r="AI149" s="60">
        <v>1.5</v>
      </c>
      <c r="AJ149" s="60">
        <v>1.6350000000000002</v>
      </c>
      <c r="AK149" s="60">
        <v>1.77</v>
      </c>
      <c r="AL149" s="60">
        <f>(AI149*6+AJ149*3+AK149*3)/12</f>
        <v>1.6012500000000003</v>
      </c>
      <c r="AM149" s="60">
        <f>AG149*AL149</f>
        <v>47.276906250000003</v>
      </c>
      <c r="AN149" s="60"/>
      <c r="AO149" s="60"/>
      <c r="AP149" s="60"/>
      <c r="AQ149" s="60"/>
      <c r="AR149" s="60">
        <f>AM149+AQ149</f>
        <v>47.276906250000003</v>
      </c>
      <c r="AS149" s="60" t="s">
        <v>174</v>
      </c>
      <c r="AT149" s="60">
        <v>49.93</v>
      </c>
      <c r="AU149" s="60">
        <v>2.4</v>
      </c>
      <c r="AV149" s="60">
        <f>AT149*AL149*AU149/100</f>
        <v>1.9188099000000003</v>
      </c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80"/>
      <c r="BI149" s="60"/>
      <c r="BJ149" s="80"/>
      <c r="BK149" s="102"/>
      <c r="BL149" s="43"/>
      <c r="BM149" s="43"/>
      <c r="BN149" s="33"/>
      <c r="BR149" s="127"/>
    </row>
    <row r="150" spans="1:70" ht="40.5" customHeight="1" x14ac:dyDescent="0.25">
      <c r="A150" s="92"/>
      <c r="B150" s="156"/>
      <c r="C150" s="156"/>
      <c r="D150" s="156" t="s">
        <v>370</v>
      </c>
      <c r="E150" s="45">
        <v>4</v>
      </c>
      <c r="F150" s="46">
        <v>79.069999999999993</v>
      </c>
      <c r="G150" s="156">
        <v>6</v>
      </c>
      <c r="H150" s="156">
        <f>F150*G150/100</f>
        <v>4.7441999999999993</v>
      </c>
      <c r="I150" s="156"/>
      <c r="J150" s="156">
        <f>F150*I150/100</f>
        <v>0</v>
      </c>
      <c r="K150" s="156">
        <v>0</v>
      </c>
      <c r="L150" s="156">
        <f>F150*K150/100</f>
        <v>0</v>
      </c>
      <c r="M150" s="156">
        <v>0</v>
      </c>
      <c r="N150" s="156">
        <v>0</v>
      </c>
      <c r="O150" s="156">
        <f>F150*N150/100</f>
        <v>0</v>
      </c>
      <c r="P150" s="156"/>
      <c r="Q150" s="156"/>
      <c r="R150" s="156">
        <v>40</v>
      </c>
      <c r="S150" s="156">
        <f>(F150+H150+J150+L150+M150+O150+Q150)*R150/100</f>
        <v>33.525680000000001</v>
      </c>
      <c r="T150" s="156">
        <v>30</v>
      </c>
      <c r="U150" s="156">
        <f>(F150+H150+J150+L150+M150+O150+Q150+S150)*30/100</f>
        <v>35.201963999999997</v>
      </c>
      <c r="V150" s="156">
        <v>30</v>
      </c>
      <c r="W150" s="156">
        <f>U150</f>
        <v>35.201963999999997</v>
      </c>
      <c r="X150" s="60">
        <f>(F150+H150+J150+L150+M150+O150+Q150+S150+U150+W150)*3</f>
        <v>563.23142400000006</v>
      </c>
      <c r="Y150" s="60">
        <f>3000/1970*3</f>
        <v>4.5685279187817258</v>
      </c>
      <c r="Z150" s="60">
        <f>(X150-S150*1.6*3)*0.06</f>
        <v>24.138489600000003</v>
      </c>
      <c r="AA150" s="60">
        <f>X150*0.07</f>
        <v>39.426199680000011</v>
      </c>
      <c r="AB150" s="60">
        <f>X150+Y150+Z150+AA150</f>
        <v>631.36464119878167</v>
      </c>
      <c r="AC150" s="60">
        <f>AB150*0.302</f>
        <v>190.67212164203207</v>
      </c>
      <c r="AD150" s="60">
        <f t="shared" si="186"/>
        <v>77.657850867450151</v>
      </c>
      <c r="AE150" s="60">
        <f t="shared" si="187"/>
        <v>54.739314391934379</v>
      </c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80"/>
      <c r="BI150" s="60"/>
      <c r="BJ150" s="80"/>
      <c r="BK150" s="102"/>
      <c r="BL150" s="43"/>
      <c r="BM150" s="43"/>
      <c r="BN150" s="33"/>
      <c r="BR150" s="127"/>
    </row>
    <row r="151" spans="1:70" ht="56.25" customHeight="1" x14ac:dyDescent="0.25">
      <c r="A151" s="92"/>
      <c r="B151" s="156"/>
      <c r="C151" s="156"/>
      <c r="D151" s="156" t="s">
        <v>371</v>
      </c>
      <c r="E151" s="45"/>
      <c r="F151" s="46">
        <v>99.7</v>
      </c>
      <c r="G151" s="156">
        <v>0</v>
      </c>
      <c r="H151" s="156">
        <f>F151*G151/100</f>
        <v>0</v>
      </c>
      <c r="I151" s="156"/>
      <c r="J151" s="156">
        <f>F151*I151/100</f>
        <v>0</v>
      </c>
      <c r="K151" s="156">
        <v>0</v>
      </c>
      <c r="L151" s="156">
        <f>F151*K151/100</f>
        <v>0</v>
      </c>
      <c r="M151" s="156">
        <v>0</v>
      </c>
      <c r="N151" s="156">
        <v>0</v>
      </c>
      <c r="O151" s="156">
        <f>F151*N151/100</f>
        <v>0</v>
      </c>
      <c r="P151" s="156"/>
      <c r="Q151" s="156"/>
      <c r="R151" s="156">
        <v>40</v>
      </c>
      <c r="S151" s="156">
        <f>(F151+H151+J151+L151+M151+O151+Q151)*R151/100</f>
        <v>39.880000000000003</v>
      </c>
      <c r="T151" s="156">
        <v>30</v>
      </c>
      <c r="U151" s="156">
        <f>(F151+H151+J151+L151+M151+O151+Q151+S151)*30/100</f>
        <v>41.874000000000002</v>
      </c>
      <c r="V151" s="156">
        <v>30</v>
      </c>
      <c r="W151" s="156">
        <f>U151</f>
        <v>41.874000000000002</v>
      </c>
      <c r="X151" s="60">
        <f>F151+H151+J151+L151+M151+O151+Q151+S151+U151+W151</f>
        <v>223.328</v>
      </c>
      <c r="Y151" s="60">
        <f>3000/1970</f>
        <v>1.5228426395939085</v>
      </c>
      <c r="Z151" s="60">
        <f>(X151-S151*1.6)*0.06</f>
        <v>9.5711999999999993</v>
      </c>
      <c r="AA151" s="60">
        <f>X151*0.07</f>
        <v>15.632960000000002</v>
      </c>
      <c r="AB151" s="60">
        <f>X151+Y151+Z151+AA151</f>
        <v>250.05500263959391</v>
      </c>
      <c r="AC151" s="60">
        <f>AB151*0.302</f>
        <v>75.516610797157355</v>
      </c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80"/>
      <c r="BI151" s="60"/>
      <c r="BJ151" s="80"/>
      <c r="BK151" s="102"/>
      <c r="BL151" s="43"/>
      <c r="BM151" s="43"/>
      <c r="BN151" s="33"/>
      <c r="BR151" s="127"/>
    </row>
    <row r="152" spans="1:70" ht="101.25" customHeight="1" x14ac:dyDescent="0.25">
      <c r="A152" s="92"/>
      <c r="B152" s="78" t="s">
        <v>424</v>
      </c>
      <c r="C152" s="156"/>
      <c r="D152" s="156"/>
      <c r="E152" s="156"/>
      <c r="F152" s="60"/>
      <c r="G152" s="156"/>
      <c r="H152" s="101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121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>
        <f>BG146+900</f>
        <v>1706.2777940081987</v>
      </c>
      <c r="BH152" s="80">
        <f>BH148+BG152</f>
        <v>4907.6244108314786</v>
      </c>
      <c r="BI152" s="60"/>
      <c r="BJ152" s="80">
        <f>BJ148+BG152</f>
        <v>5288.8001874684287</v>
      </c>
      <c r="BK152" s="102">
        <f>BK148+BG152</f>
        <v>4744.092424342658</v>
      </c>
      <c r="BL152" s="43"/>
      <c r="BM152" s="43"/>
      <c r="BN152" s="33"/>
      <c r="BR152" s="127"/>
    </row>
    <row r="153" spans="1:70" ht="81" customHeight="1" x14ac:dyDescent="0.25">
      <c r="A153" s="37" t="s">
        <v>464</v>
      </c>
      <c r="B153" s="78" t="s">
        <v>427</v>
      </c>
      <c r="C153" s="156" t="s">
        <v>428</v>
      </c>
      <c r="D153" s="156" t="s">
        <v>311</v>
      </c>
      <c r="E153" s="156">
        <v>4</v>
      </c>
      <c r="F153" s="156">
        <v>71.16</v>
      </c>
      <c r="G153" s="156">
        <v>0</v>
      </c>
      <c r="H153" s="101">
        <f>F153*G153/100</f>
        <v>0</v>
      </c>
      <c r="I153" s="156"/>
      <c r="J153" s="156">
        <f>F153*I153/100</f>
        <v>0</v>
      </c>
      <c r="K153" s="156"/>
      <c r="L153" s="156">
        <f>F153*K153/100</f>
        <v>0</v>
      </c>
      <c r="M153" s="156"/>
      <c r="N153" s="156">
        <v>25</v>
      </c>
      <c r="O153" s="156">
        <f>F153*N153/100</f>
        <v>17.79</v>
      </c>
      <c r="P153" s="156"/>
      <c r="Q153" s="156"/>
      <c r="R153" s="156">
        <v>40</v>
      </c>
      <c r="S153" s="156">
        <f>(F153+H153+J153+L153+M153+O153+Q153)*R153/100</f>
        <v>35.58</v>
      </c>
      <c r="T153" s="156">
        <v>30</v>
      </c>
      <c r="U153" s="156">
        <f>(F153+H153+J153+L153+M153+O153+Q153+S153)*30/100</f>
        <v>37.358999999999995</v>
      </c>
      <c r="V153" s="156">
        <v>30</v>
      </c>
      <c r="W153" s="156">
        <f>U153</f>
        <v>37.358999999999995</v>
      </c>
      <c r="X153" s="60">
        <f>F153+H153+J153+L153+M153+O153+Q153+S153+U153+W153</f>
        <v>199.24799999999999</v>
      </c>
      <c r="Y153" s="60">
        <f>3000/1970</f>
        <v>1.5228426395939085</v>
      </c>
      <c r="Z153" s="60">
        <f>X153*0.06</f>
        <v>11.954879999999999</v>
      </c>
      <c r="AA153" s="60">
        <f>X153*0.07</f>
        <v>13.947360000000002</v>
      </c>
      <c r="AB153" s="60">
        <f>X153+Y153+Z153+AA153</f>
        <v>226.6730826395939</v>
      </c>
      <c r="AC153" s="60">
        <f>AB153*0.302</f>
        <v>68.455270957157353</v>
      </c>
      <c r="AD153" s="60">
        <f t="shared" ref="AD153:AD154" si="188">AB153*0.123</f>
        <v>27.880789164670048</v>
      </c>
      <c r="AE153" s="60">
        <f t="shared" ref="AE153:AE154" si="189">AB153*1.734*0.05</f>
        <v>19.652556264852791</v>
      </c>
      <c r="AF153" s="60" t="s">
        <v>86</v>
      </c>
      <c r="AG153" s="159">
        <v>30.677966000000001</v>
      </c>
      <c r="AH153" s="60">
        <v>10.199999999999999</v>
      </c>
      <c r="AI153" s="60">
        <v>13.973999999999998</v>
      </c>
      <c r="AJ153" s="60">
        <v>14.177999999999999</v>
      </c>
      <c r="AK153" s="60">
        <v>15.095999999999997</v>
      </c>
      <c r="AL153" s="60">
        <f>(AI153*6+AJ153*3+AK153*3)/12</f>
        <v>14.305499999999997</v>
      </c>
      <c r="AM153" s="60">
        <f>AG153*AL153/100*23</f>
        <v>100.93863780098997</v>
      </c>
      <c r="AN153" s="60"/>
      <c r="AO153" s="60"/>
      <c r="AP153" s="60"/>
      <c r="AQ153" s="60">
        <f>AG153*AO153*AP153</f>
        <v>0</v>
      </c>
      <c r="AR153" s="60">
        <f>AM153+AQ153</f>
        <v>100.93863780098997</v>
      </c>
      <c r="AS153" s="60" t="s">
        <v>266</v>
      </c>
      <c r="AT153" s="60">
        <v>456</v>
      </c>
      <c r="AU153" s="60">
        <v>0.72</v>
      </c>
      <c r="AV153" s="60">
        <f>AL153/100*23*AU153/100*AT153</f>
        <v>10.802598047999997</v>
      </c>
      <c r="AW153" s="80">
        <v>50000</v>
      </c>
      <c r="AX153" s="80">
        <v>23</v>
      </c>
      <c r="AY153" s="60" t="s">
        <v>190</v>
      </c>
      <c r="AZ153" s="60">
        <v>4943.22</v>
      </c>
      <c r="BA153" s="60">
        <v>4</v>
      </c>
      <c r="BB153" s="60">
        <f>AZ153*BA153/AW153*AX153</f>
        <v>9.0955247999999997</v>
      </c>
      <c r="BC153" s="60">
        <v>37.44</v>
      </c>
      <c r="BD153" s="60">
        <v>34.82</v>
      </c>
      <c r="BE153" s="60">
        <v>1746.29</v>
      </c>
      <c r="BF153" s="60">
        <v>6.5</v>
      </c>
      <c r="BG153" s="60"/>
      <c r="BH153" s="80">
        <f>AB153+AC153+AD153+AR153+AV153+BB153+BC153+BD153+BE153+BF153</f>
        <v>2268.8959034104114</v>
      </c>
      <c r="BI153" s="60">
        <f>AB153*0.2</f>
        <v>45.334616527918783</v>
      </c>
      <c r="BJ153" s="80">
        <f>BH153+AE153+BI153</f>
        <v>2333.8830762031826</v>
      </c>
      <c r="BK153" s="102">
        <f>BH153-AD153</f>
        <v>2241.0151142457412</v>
      </c>
      <c r="BL153" s="43"/>
      <c r="BM153" s="43"/>
      <c r="BN153" s="33"/>
      <c r="BR153" s="127"/>
    </row>
    <row r="154" spans="1:70" ht="85.5" customHeight="1" thickBot="1" x14ac:dyDescent="0.3">
      <c r="A154" s="109">
        <v>123</v>
      </c>
      <c r="B154" s="154" t="s">
        <v>461</v>
      </c>
      <c r="C154" s="110" t="s">
        <v>462</v>
      </c>
      <c r="D154" s="157" t="s">
        <v>311</v>
      </c>
      <c r="E154" s="157">
        <v>5</v>
      </c>
      <c r="F154" s="157">
        <v>79.069999999999993</v>
      </c>
      <c r="G154" s="157">
        <v>4</v>
      </c>
      <c r="H154" s="105">
        <f>F154*G154/100</f>
        <v>3.1627999999999998</v>
      </c>
      <c r="I154" s="157"/>
      <c r="J154" s="157">
        <f>F154*I154/100</f>
        <v>0</v>
      </c>
      <c r="K154" s="157"/>
      <c r="L154" s="157">
        <f>F154*K154/100</f>
        <v>0</v>
      </c>
      <c r="M154" s="157"/>
      <c r="N154" s="157">
        <v>25</v>
      </c>
      <c r="O154" s="157">
        <f>F154*N154/100</f>
        <v>19.767499999999998</v>
      </c>
      <c r="P154" s="157"/>
      <c r="Q154" s="157"/>
      <c r="R154" s="157">
        <v>40</v>
      </c>
      <c r="S154" s="157">
        <f>(F154+H154+J154+L154+M154+O154+Q154)*R154/100</f>
        <v>40.80012</v>
      </c>
      <c r="T154" s="157">
        <v>30</v>
      </c>
      <c r="U154" s="157">
        <f>(F154+H154+J154+L154+M154+O154+Q154+S154)*30/100</f>
        <v>42.840125999999998</v>
      </c>
      <c r="V154" s="157">
        <v>30</v>
      </c>
      <c r="W154" s="157">
        <f>U154</f>
        <v>42.840125999999998</v>
      </c>
      <c r="X154" s="106">
        <f>F154+H154+J154+L154+M154+O154+Q154+S154+U154+W154</f>
        <v>228.480672</v>
      </c>
      <c r="Y154" s="106">
        <f>3000/1970</f>
        <v>1.5228426395939085</v>
      </c>
      <c r="Z154" s="106">
        <f>(X154-S154*1.6)*0.06</f>
        <v>9.7920287999999989</v>
      </c>
      <c r="AA154" s="106">
        <f>X154*0.07</f>
        <v>15.993647040000001</v>
      </c>
      <c r="AB154" s="106">
        <f>X154+Y154+Z154+AA154</f>
        <v>255.78919047959391</v>
      </c>
      <c r="AC154" s="106">
        <f>AB154*0.302</f>
        <v>77.248335524837358</v>
      </c>
      <c r="AD154" s="106">
        <f t="shared" si="188"/>
        <v>31.462070428990049</v>
      </c>
      <c r="AE154" s="106">
        <f t="shared" si="189"/>
        <v>22.176922814580792</v>
      </c>
      <c r="AF154" s="106" t="s">
        <v>83</v>
      </c>
      <c r="AG154" s="162">
        <v>30.677966000000001</v>
      </c>
      <c r="AH154" s="106">
        <v>27.4</v>
      </c>
      <c r="AI154" s="106">
        <v>34.797999999999995</v>
      </c>
      <c r="AJ154" s="106">
        <v>35.345999999999997</v>
      </c>
      <c r="AK154" s="106">
        <v>37.811999999999991</v>
      </c>
      <c r="AL154" s="106">
        <f>(AI154*6+AJ154*3+AK154*3)/12</f>
        <v>35.688499999999991</v>
      </c>
      <c r="AM154" s="106">
        <f>AG154*AL154/100*23</f>
        <v>251.81563560592994</v>
      </c>
      <c r="AN154" s="106" t="s">
        <v>170</v>
      </c>
      <c r="AO154" s="106">
        <v>8.86</v>
      </c>
      <c r="AP154" s="106">
        <v>0.1</v>
      </c>
      <c r="AQ154" s="106">
        <f>AO154*AP154*AG154</f>
        <v>27.180677876000001</v>
      </c>
      <c r="AR154" s="106">
        <f>AM154+AQ154</f>
        <v>278.99631348192992</v>
      </c>
      <c r="AS154" s="106" t="s">
        <v>172</v>
      </c>
      <c r="AT154" s="106">
        <v>63.56</v>
      </c>
      <c r="AU154" s="106">
        <v>3.2</v>
      </c>
      <c r="AV154" s="106">
        <f>AL154/100*23*AU154/100*AT154</f>
        <v>16.695137401599997</v>
      </c>
      <c r="AW154" s="106">
        <v>50000</v>
      </c>
      <c r="AX154" s="107">
        <v>23</v>
      </c>
      <c r="AY154" s="106" t="s">
        <v>463</v>
      </c>
      <c r="AZ154" s="106">
        <v>15127</v>
      </c>
      <c r="BA154" s="107">
        <v>6</v>
      </c>
      <c r="BB154" s="106">
        <f>AZ154*BA154/AW154*AX154</f>
        <v>41.750520000000002</v>
      </c>
      <c r="BC154" s="106">
        <v>37.44</v>
      </c>
      <c r="BD154" s="106">
        <v>34.82</v>
      </c>
      <c r="BE154" s="106">
        <f>3203389.83/37*12/1973</f>
        <v>526.5774161997781</v>
      </c>
      <c r="BF154" s="106">
        <v>6.5</v>
      </c>
      <c r="BG154" s="106"/>
      <c r="BH154" s="107">
        <f>AB154+AC154+AD154+AR154+AV154+BB154+BC154+BD154+BE154+BF154+BG154</f>
        <v>1307.2789835167296</v>
      </c>
      <c r="BI154" s="106">
        <f>AB154*0.2</f>
        <v>51.157838095918784</v>
      </c>
      <c r="BJ154" s="107">
        <f>BH154+AE154+BI154</f>
        <v>1380.6137444272292</v>
      </c>
      <c r="BK154" s="108">
        <f>BH154-AD154</f>
        <v>1275.8169130877395</v>
      </c>
      <c r="BL154" s="43"/>
      <c r="BM154" s="43"/>
      <c r="BN154" s="33"/>
      <c r="BR154" s="127"/>
    </row>
    <row r="155" spans="1:70" ht="20.25" customHeight="1" x14ac:dyDescent="0.25">
      <c r="A155" s="133"/>
      <c r="B155" s="113"/>
      <c r="C155" s="113"/>
      <c r="D155" s="113"/>
      <c r="E155" s="113"/>
      <c r="F155" s="134"/>
      <c r="G155" s="113"/>
      <c r="H155" s="4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19"/>
      <c r="AH155" s="136"/>
      <c r="AI155" s="136"/>
      <c r="AJ155" s="136"/>
      <c r="AK155" s="136"/>
      <c r="AL155" s="135"/>
      <c r="AM155" s="135"/>
      <c r="AN155" s="135"/>
      <c r="AO155" s="135"/>
      <c r="AP155" s="135"/>
      <c r="AQ155" s="135"/>
      <c r="AR155" s="135"/>
      <c r="AS155" s="135"/>
      <c r="AT155" s="135"/>
      <c r="AU155" s="135"/>
      <c r="AV155" s="135"/>
      <c r="AW155" s="135"/>
      <c r="AX155" s="135"/>
      <c r="AY155" s="135"/>
      <c r="AZ155" s="135"/>
      <c r="BA155" s="135"/>
      <c r="BB155" s="135"/>
      <c r="BC155" s="135"/>
      <c r="BD155" s="135"/>
      <c r="BE155" s="135"/>
      <c r="BF155" s="135"/>
      <c r="BG155" s="135"/>
      <c r="BH155" s="137"/>
      <c r="BI155" s="135"/>
      <c r="BJ155" s="137"/>
      <c r="BK155" s="137"/>
      <c r="BL155" s="43"/>
      <c r="BM155" s="43"/>
      <c r="BN155" s="33"/>
      <c r="BR155" s="127"/>
    </row>
    <row r="156" spans="1:70" x14ac:dyDescent="0.25"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7"/>
      <c r="BM156" s="33"/>
      <c r="BN156" s="33"/>
    </row>
    <row r="157" spans="1:70" x14ac:dyDescent="0.25">
      <c r="A157" s="7" t="s">
        <v>216</v>
      </c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7"/>
      <c r="V157" s="129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 t="s">
        <v>217</v>
      </c>
      <c r="AN157" s="7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7"/>
      <c r="BM157" s="33"/>
      <c r="BN157" s="33"/>
    </row>
    <row r="158" spans="1:70" x14ac:dyDescent="0.25">
      <c r="A158" s="7"/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7"/>
      <c r="V158" s="129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7"/>
      <c r="BM158" s="33"/>
      <c r="BN158" s="33"/>
    </row>
    <row r="159" spans="1:70" x14ac:dyDescent="0.25">
      <c r="A159" s="28"/>
      <c r="U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7"/>
      <c r="BM159" s="33"/>
      <c r="BN159" s="33"/>
    </row>
    <row r="160" spans="1:70" x14ac:dyDescent="0.25">
      <c r="A160" s="33"/>
      <c r="U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7"/>
      <c r="BM160" s="33"/>
      <c r="BN160" s="33"/>
    </row>
    <row r="161" spans="1:66" x14ac:dyDescent="0.25">
      <c r="A161" s="4" t="s">
        <v>5</v>
      </c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7"/>
      <c r="BM161" s="33"/>
      <c r="BN161" s="33"/>
    </row>
    <row r="162" spans="1:66" x14ac:dyDescent="0.25">
      <c r="A162" s="4" t="s">
        <v>476</v>
      </c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7"/>
      <c r="BM162" s="33"/>
      <c r="BN162" s="33"/>
    </row>
    <row r="163" spans="1:66" x14ac:dyDescent="0.25">
      <c r="A163" s="4" t="s">
        <v>268</v>
      </c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7"/>
      <c r="BM163" s="33"/>
      <c r="BN163" s="33"/>
    </row>
    <row r="164" spans="1:66" x14ac:dyDescent="0.25"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7"/>
      <c r="BM164" s="33"/>
      <c r="BN164" s="33"/>
    </row>
    <row r="165" spans="1:66" x14ac:dyDescent="0.25"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7"/>
      <c r="BM165" s="33"/>
      <c r="BN165" s="33"/>
    </row>
    <row r="166" spans="1:66" x14ac:dyDescent="0.25"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7"/>
      <c r="BM166" s="33"/>
      <c r="BN166" s="33"/>
    </row>
    <row r="167" spans="1:66" x14ac:dyDescent="0.25"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7"/>
      <c r="BM167" s="33"/>
      <c r="BN167" s="33"/>
    </row>
    <row r="168" spans="1:66" x14ac:dyDescent="0.25"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7"/>
      <c r="BM168" s="33"/>
      <c r="BN168" s="33"/>
    </row>
    <row r="169" spans="1:66" x14ac:dyDescent="0.25"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7"/>
      <c r="BM169" s="33"/>
      <c r="BN169" s="33"/>
    </row>
    <row r="170" spans="1:66" x14ac:dyDescent="0.25"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7"/>
      <c r="BM170" s="33"/>
      <c r="BN170" s="33"/>
    </row>
    <row r="171" spans="1:66" x14ac:dyDescent="0.25"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7"/>
      <c r="BM171" s="33"/>
      <c r="BN171" s="33"/>
    </row>
    <row r="172" spans="1:66" x14ac:dyDescent="0.25"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7"/>
      <c r="BM172" s="33"/>
      <c r="BN172" s="33"/>
    </row>
    <row r="173" spans="1:66" x14ac:dyDescent="0.25"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7"/>
      <c r="BM173" s="33"/>
      <c r="BN173" s="33"/>
    </row>
    <row r="174" spans="1:66" x14ac:dyDescent="0.25"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7"/>
      <c r="BM174" s="33"/>
      <c r="BN174" s="33"/>
    </row>
    <row r="175" spans="1:66" x14ac:dyDescent="0.25"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7"/>
      <c r="BM175" s="33"/>
      <c r="BN175" s="33"/>
    </row>
    <row r="176" spans="1:66" x14ac:dyDescent="0.25"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7"/>
      <c r="BM176" s="33"/>
      <c r="BN176" s="33"/>
    </row>
    <row r="177" spans="2:66" x14ac:dyDescent="0.25"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7"/>
      <c r="BM177" s="33"/>
      <c r="BN177" s="33"/>
    </row>
    <row r="178" spans="2:66" x14ac:dyDescent="0.25"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7"/>
      <c r="BM178" s="33"/>
      <c r="BN178" s="33"/>
    </row>
    <row r="179" spans="2:66" x14ac:dyDescent="0.25"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7"/>
      <c r="BM179" s="33"/>
      <c r="BN179" s="33"/>
    </row>
    <row r="180" spans="2:66" x14ac:dyDescent="0.25"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7"/>
      <c r="BM180" s="33"/>
      <c r="BN180" s="33"/>
    </row>
    <row r="181" spans="2:66" x14ac:dyDescent="0.25"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7"/>
      <c r="BM181" s="33"/>
      <c r="BN181" s="33"/>
    </row>
    <row r="182" spans="2:66" x14ac:dyDescent="0.25"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7"/>
      <c r="BM182" s="33"/>
      <c r="BN182" s="33"/>
    </row>
    <row r="183" spans="2:66" x14ac:dyDescent="0.25">
      <c r="B183" s="149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  <c r="BI183" s="149"/>
      <c r="BJ183" s="149"/>
      <c r="BK183" s="149"/>
      <c r="BL183" s="79"/>
      <c r="BM183" s="149"/>
    </row>
    <row r="184" spans="2:66" x14ac:dyDescent="0.25">
      <c r="B184" s="149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  <c r="BI184" s="149"/>
      <c r="BJ184" s="149"/>
      <c r="BK184" s="149"/>
      <c r="BL184" s="79"/>
      <c r="BM184" s="149"/>
    </row>
    <row r="185" spans="2:66" x14ac:dyDescent="0.25">
      <c r="B185" s="149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  <c r="BI185" s="149"/>
      <c r="BJ185" s="149"/>
      <c r="BK185" s="149"/>
      <c r="BL185" s="79"/>
      <c r="BM185" s="149"/>
    </row>
    <row r="186" spans="2:66" x14ac:dyDescent="0.25">
      <c r="B186" s="149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  <c r="BI186" s="149"/>
      <c r="BJ186" s="149"/>
      <c r="BK186" s="149"/>
      <c r="BL186" s="79"/>
      <c r="BM186" s="149"/>
    </row>
    <row r="187" spans="2:66" x14ac:dyDescent="0.25">
      <c r="B187" s="149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  <c r="BI187" s="149"/>
      <c r="BJ187" s="149"/>
      <c r="BK187" s="149"/>
      <c r="BL187" s="79"/>
      <c r="BM187" s="149"/>
    </row>
    <row r="188" spans="2:66" x14ac:dyDescent="0.25">
      <c r="B188" s="149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  <c r="BI188" s="149"/>
      <c r="BJ188" s="149"/>
      <c r="BK188" s="149"/>
      <c r="BL188" s="79"/>
      <c r="BM188" s="149"/>
    </row>
    <row r="189" spans="2:66" x14ac:dyDescent="0.25">
      <c r="B189" s="149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  <c r="BI189" s="149"/>
      <c r="BJ189" s="149"/>
      <c r="BK189" s="149"/>
      <c r="BL189" s="79"/>
      <c r="BM189" s="149"/>
    </row>
    <row r="190" spans="2:66" x14ac:dyDescent="0.25">
      <c r="B190" s="149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  <c r="BI190" s="149"/>
      <c r="BJ190" s="149"/>
      <c r="BK190" s="149"/>
      <c r="BL190" s="79"/>
      <c r="BM190" s="149"/>
    </row>
    <row r="191" spans="2:66" x14ac:dyDescent="0.25"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  <c r="BI191" s="149"/>
      <c r="BJ191" s="149"/>
      <c r="BK191" s="149"/>
      <c r="BL191" s="79"/>
      <c r="BM191" s="149"/>
    </row>
    <row r="192" spans="2:66" x14ac:dyDescent="0.25"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  <c r="BI192" s="149"/>
      <c r="BJ192" s="149"/>
      <c r="BK192" s="149"/>
      <c r="BL192" s="79"/>
      <c r="BM192" s="149"/>
    </row>
    <row r="193" spans="2:65" x14ac:dyDescent="0.25">
      <c r="B193" s="149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  <c r="BI193" s="149"/>
      <c r="BJ193" s="149"/>
      <c r="BK193" s="149"/>
      <c r="BL193" s="79"/>
      <c r="BM193" s="149"/>
    </row>
    <row r="194" spans="2:65" x14ac:dyDescent="0.25">
      <c r="B194" s="149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  <c r="BI194" s="149"/>
      <c r="BJ194" s="149"/>
      <c r="BK194" s="149"/>
      <c r="BL194" s="79"/>
      <c r="BM194" s="149"/>
    </row>
    <row r="195" spans="2:65" x14ac:dyDescent="0.25">
      <c r="B195" s="149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  <c r="BI195" s="149"/>
      <c r="BJ195" s="149"/>
      <c r="BK195" s="149"/>
      <c r="BL195" s="79"/>
      <c r="BM195" s="149"/>
    </row>
    <row r="196" spans="2:65" x14ac:dyDescent="0.25">
      <c r="B196" s="149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  <c r="BI196" s="149"/>
      <c r="BJ196" s="149"/>
      <c r="BK196" s="149"/>
      <c r="BL196" s="79"/>
      <c r="BM196" s="149"/>
    </row>
    <row r="197" spans="2:65" x14ac:dyDescent="0.25"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  <c r="BI197" s="149"/>
      <c r="BJ197" s="149"/>
      <c r="BK197" s="149"/>
      <c r="BL197" s="79"/>
      <c r="BM197" s="149"/>
    </row>
    <row r="198" spans="2:65" x14ac:dyDescent="0.25">
      <c r="B198" s="149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149"/>
      <c r="AB198" s="149"/>
      <c r="AC198" s="149"/>
      <c r="AD198" s="149"/>
      <c r="AE198" s="149"/>
      <c r="AF198" s="149"/>
      <c r="AG198" s="149"/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  <c r="BI198" s="149"/>
      <c r="BJ198" s="149"/>
      <c r="BK198" s="149"/>
      <c r="BL198" s="79"/>
      <c r="BM198" s="149"/>
    </row>
    <row r="199" spans="2:65" x14ac:dyDescent="0.25">
      <c r="B199" s="149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  <c r="BI199" s="149"/>
      <c r="BJ199" s="149"/>
      <c r="BK199" s="149"/>
      <c r="BL199" s="79"/>
      <c r="BM199" s="149"/>
    </row>
    <row r="200" spans="2:65" x14ac:dyDescent="0.25">
      <c r="B200" s="149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D200" s="149"/>
      <c r="BE200" s="149"/>
      <c r="BF200" s="149"/>
      <c r="BG200" s="149"/>
      <c r="BH200" s="149"/>
      <c r="BI200" s="149"/>
      <c r="BJ200" s="149"/>
      <c r="BK200" s="149"/>
      <c r="BL200" s="79"/>
      <c r="BM200" s="149"/>
    </row>
    <row r="201" spans="2:65" x14ac:dyDescent="0.25">
      <c r="B201" s="14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  <c r="BI201" s="149"/>
      <c r="BJ201" s="149"/>
      <c r="BK201" s="149"/>
      <c r="BL201" s="79"/>
      <c r="BM201" s="149"/>
    </row>
    <row r="202" spans="2:65" x14ac:dyDescent="0.25">
      <c r="B202" s="149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  <c r="BI202" s="149"/>
      <c r="BJ202" s="149"/>
      <c r="BK202" s="149"/>
      <c r="BL202" s="79"/>
      <c r="BM202" s="149"/>
    </row>
    <row r="203" spans="2:65" x14ac:dyDescent="0.25">
      <c r="B203" s="149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  <c r="AF203" s="149"/>
      <c r="AG203" s="149"/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  <c r="BI203" s="149"/>
      <c r="BJ203" s="149"/>
      <c r="BK203" s="149"/>
      <c r="BL203" s="79"/>
      <c r="BM203" s="149"/>
    </row>
    <row r="204" spans="2:65" x14ac:dyDescent="0.25">
      <c r="B204" s="149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  <c r="AE204" s="149"/>
      <c r="AF204" s="149"/>
      <c r="AG204" s="149"/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  <c r="BI204" s="149"/>
      <c r="BJ204" s="149"/>
      <c r="BK204" s="149"/>
      <c r="BL204" s="79"/>
      <c r="BM204" s="149"/>
    </row>
    <row r="205" spans="2:65" x14ac:dyDescent="0.25">
      <c r="B205" s="149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9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D205" s="149"/>
      <c r="BE205" s="149"/>
      <c r="BF205" s="149"/>
      <c r="BG205" s="149"/>
      <c r="BH205" s="149"/>
      <c r="BI205" s="149"/>
      <c r="BJ205" s="149"/>
      <c r="BK205" s="149"/>
      <c r="BL205" s="79"/>
      <c r="BM205" s="149"/>
    </row>
    <row r="206" spans="2:65" x14ac:dyDescent="0.25"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  <c r="BI206" s="149"/>
      <c r="BJ206" s="149"/>
      <c r="BK206" s="149"/>
      <c r="BL206" s="79"/>
      <c r="BM206" s="149"/>
    </row>
    <row r="207" spans="2:65" x14ac:dyDescent="0.25">
      <c r="B207" s="14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  <c r="BI207" s="149"/>
      <c r="BJ207" s="149"/>
      <c r="BK207" s="149"/>
      <c r="BL207" s="79"/>
      <c r="BM207" s="149"/>
    </row>
    <row r="208" spans="2:65" x14ac:dyDescent="0.25"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  <c r="AA208" s="149"/>
      <c r="AB208" s="149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  <c r="BI208" s="149"/>
      <c r="BJ208" s="149"/>
      <c r="BK208" s="149"/>
      <c r="BL208" s="79"/>
      <c r="BM208" s="149"/>
    </row>
    <row r="209" spans="2:65" x14ac:dyDescent="0.25"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Z209" s="149"/>
      <c r="AA209" s="149"/>
      <c r="AB209" s="149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  <c r="BI209" s="149"/>
      <c r="BJ209" s="149"/>
      <c r="BK209" s="149"/>
      <c r="BL209" s="79"/>
      <c r="BM209" s="149"/>
    </row>
    <row r="210" spans="2:65" x14ac:dyDescent="0.25">
      <c r="B210" s="149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  <c r="AA210" s="149"/>
      <c r="AB210" s="149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  <c r="BI210" s="149"/>
      <c r="BJ210" s="149"/>
      <c r="BK210" s="149"/>
      <c r="BL210" s="79"/>
      <c r="BM210" s="149"/>
    </row>
    <row r="211" spans="2:65" x14ac:dyDescent="0.25"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  <c r="AA211" s="149"/>
      <c r="AB211" s="149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  <c r="BI211" s="149"/>
      <c r="BJ211" s="149"/>
      <c r="BK211" s="149"/>
      <c r="BL211" s="79"/>
      <c r="BM211" s="149"/>
    </row>
    <row r="212" spans="2:65" x14ac:dyDescent="0.25">
      <c r="B212" s="149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  <c r="Z212" s="149"/>
      <c r="AA212" s="149"/>
      <c r="AB212" s="149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49"/>
      <c r="BA212" s="149"/>
      <c r="BB212" s="149"/>
      <c r="BC212" s="149"/>
      <c r="BD212" s="149"/>
      <c r="BE212" s="149"/>
      <c r="BF212" s="149"/>
      <c r="BG212" s="149"/>
      <c r="BH212" s="149"/>
      <c r="BI212" s="149"/>
      <c r="BJ212" s="149"/>
      <c r="BK212" s="149"/>
      <c r="BL212" s="79"/>
      <c r="BM212" s="149"/>
    </row>
    <row r="213" spans="2:65" x14ac:dyDescent="0.25">
      <c r="B213" s="149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Z213" s="149"/>
      <c r="AA213" s="149"/>
      <c r="AB213" s="149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49"/>
      <c r="BH213" s="149"/>
      <c r="BI213" s="149"/>
      <c r="BJ213" s="149"/>
      <c r="BK213" s="149"/>
      <c r="BL213" s="79"/>
      <c r="BM213" s="149"/>
    </row>
    <row r="214" spans="2:65" x14ac:dyDescent="0.25">
      <c r="B214" s="14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  <c r="AA214" s="149"/>
      <c r="AB214" s="149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  <c r="BI214" s="149"/>
      <c r="BJ214" s="149"/>
      <c r="BK214" s="149"/>
      <c r="BL214" s="79"/>
      <c r="BM214" s="149"/>
    </row>
    <row r="215" spans="2:65" x14ac:dyDescent="0.25">
      <c r="B215" s="149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  <c r="AA215" s="149"/>
      <c r="AB215" s="149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  <c r="BI215" s="149"/>
      <c r="BJ215" s="149"/>
      <c r="BK215" s="149"/>
      <c r="BL215" s="79"/>
      <c r="BM215" s="149"/>
    </row>
    <row r="216" spans="2:65" x14ac:dyDescent="0.25">
      <c r="B216" s="149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  <c r="AA216" s="149"/>
      <c r="AB216" s="149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  <c r="BI216" s="149"/>
      <c r="BJ216" s="149"/>
      <c r="BK216" s="149"/>
      <c r="BL216" s="79"/>
      <c r="BM216" s="149"/>
    </row>
    <row r="217" spans="2:65" x14ac:dyDescent="0.25">
      <c r="B217" s="149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  <c r="AA217" s="149"/>
      <c r="AB217" s="149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  <c r="BI217" s="149"/>
      <c r="BJ217" s="149"/>
      <c r="BK217" s="149"/>
      <c r="BL217" s="79"/>
      <c r="BM217" s="149"/>
    </row>
    <row r="218" spans="2:65" x14ac:dyDescent="0.25"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  <c r="BI218" s="149"/>
      <c r="BJ218" s="149"/>
      <c r="BK218" s="149"/>
      <c r="BL218" s="79"/>
      <c r="BM218" s="149"/>
    </row>
    <row r="219" spans="2:65" x14ac:dyDescent="0.25"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  <c r="BI219" s="149"/>
      <c r="BJ219" s="149"/>
      <c r="BK219" s="149"/>
      <c r="BL219" s="79"/>
      <c r="BM219" s="149"/>
    </row>
    <row r="220" spans="2:65" x14ac:dyDescent="0.25">
      <c r="B220" s="149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  <c r="BC220" s="149"/>
      <c r="BD220" s="149"/>
      <c r="BE220" s="149"/>
      <c r="BF220" s="149"/>
      <c r="BG220" s="149"/>
      <c r="BH220" s="149"/>
      <c r="BI220" s="149"/>
      <c r="BJ220" s="149"/>
      <c r="BK220" s="149"/>
      <c r="BL220" s="79"/>
      <c r="BM220" s="149"/>
    </row>
    <row r="221" spans="2:65" x14ac:dyDescent="0.25">
      <c r="B221" s="149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  <c r="Z221" s="149"/>
      <c r="AA221" s="149"/>
      <c r="AB221" s="149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  <c r="BI221" s="149"/>
      <c r="BJ221" s="149"/>
      <c r="BK221" s="149"/>
      <c r="BL221" s="79"/>
      <c r="BM221" s="149"/>
    </row>
    <row r="222" spans="2:65" x14ac:dyDescent="0.25">
      <c r="B222" s="149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  <c r="AA222" s="149"/>
      <c r="AB222" s="149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  <c r="BI222" s="149"/>
      <c r="BJ222" s="149"/>
      <c r="BK222" s="149"/>
      <c r="BL222" s="79"/>
      <c r="BM222" s="149"/>
    </row>
    <row r="223" spans="2:65" x14ac:dyDescent="0.25">
      <c r="B223" s="149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  <c r="AA223" s="149"/>
      <c r="AB223" s="149"/>
      <c r="AC223" s="149"/>
      <c r="AD223" s="149"/>
      <c r="AE223" s="149"/>
      <c r="AF223" s="149"/>
      <c r="AG223" s="149"/>
      <c r="AH223" s="149"/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49"/>
      <c r="BC223" s="149"/>
      <c r="BD223" s="149"/>
      <c r="BE223" s="149"/>
      <c r="BF223" s="149"/>
      <c r="BG223" s="149"/>
      <c r="BH223" s="149"/>
      <c r="BI223" s="149"/>
      <c r="BJ223" s="149"/>
      <c r="BK223" s="149"/>
      <c r="BL223" s="79"/>
      <c r="BM223" s="149"/>
    </row>
    <row r="224" spans="2:65" x14ac:dyDescent="0.25"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  <c r="AA224" s="149"/>
      <c r="AB224" s="149"/>
      <c r="AC224" s="149"/>
      <c r="AD224" s="149"/>
      <c r="AE224" s="149"/>
      <c r="AF224" s="149"/>
      <c r="AG224" s="149"/>
      <c r="AH224" s="149"/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  <c r="BC224" s="149"/>
      <c r="BD224" s="149"/>
      <c r="BE224" s="149"/>
      <c r="BF224" s="149"/>
      <c r="BG224" s="149"/>
      <c r="BH224" s="149"/>
      <c r="BI224" s="149"/>
      <c r="BJ224" s="149"/>
      <c r="BK224" s="149"/>
      <c r="BL224" s="79"/>
      <c r="BM224" s="149"/>
    </row>
    <row r="225" spans="2:65" x14ac:dyDescent="0.25"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  <c r="AA225" s="149"/>
      <c r="AB225" s="149"/>
      <c r="AC225" s="149"/>
      <c r="AD225" s="149"/>
      <c r="AE225" s="149"/>
      <c r="AF225" s="149"/>
      <c r="AG225" s="149"/>
      <c r="AH225" s="149"/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49"/>
      <c r="BH225" s="149"/>
      <c r="BI225" s="149"/>
      <c r="BJ225" s="149"/>
      <c r="BK225" s="149"/>
      <c r="BL225" s="79"/>
      <c r="BM225" s="149"/>
    </row>
    <row r="226" spans="2:65" x14ac:dyDescent="0.25">
      <c r="B226" s="149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  <c r="AA226" s="149"/>
      <c r="AB226" s="149"/>
      <c r="AC226" s="149"/>
      <c r="AD226" s="149"/>
      <c r="AE226" s="149"/>
      <c r="AF226" s="149"/>
      <c r="AG226" s="149"/>
      <c r="AH226" s="149"/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  <c r="BG226" s="149"/>
      <c r="BH226" s="149"/>
      <c r="BI226" s="149"/>
      <c r="BJ226" s="149"/>
      <c r="BK226" s="149"/>
      <c r="BL226" s="79"/>
      <c r="BM226" s="149"/>
    </row>
    <row r="227" spans="2:65" x14ac:dyDescent="0.25">
      <c r="B227" s="149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  <c r="BC227" s="149"/>
      <c r="BD227" s="149"/>
      <c r="BE227" s="149"/>
      <c r="BF227" s="149"/>
      <c r="BG227" s="149"/>
      <c r="BH227" s="149"/>
      <c r="BI227" s="149"/>
      <c r="BJ227" s="149"/>
      <c r="BK227" s="149"/>
      <c r="BL227" s="79"/>
      <c r="BM227" s="149"/>
    </row>
    <row r="228" spans="2:65" x14ac:dyDescent="0.25">
      <c r="B228" s="149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  <c r="AA228" s="149"/>
      <c r="AB228" s="149"/>
      <c r="AC228" s="149"/>
      <c r="AD228" s="149"/>
      <c r="AE228" s="149"/>
      <c r="AF228" s="149"/>
      <c r="AG228" s="149"/>
      <c r="AH228" s="149"/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  <c r="BI228" s="149"/>
      <c r="BJ228" s="149"/>
      <c r="BK228" s="149"/>
      <c r="BL228" s="79"/>
      <c r="BM228" s="149"/>
    </row>
    <row r="229" spans="2:65" x14ac:dyDescent="0.25">
      <c r="B229" s="149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  <c r="BI229" s="149"/>
      <c r="BJ229" s="149"/>
      <c r="BK229" s="149"/>
      <c r="BL229" s="79"/>
      <c r="BM229" s="149"/>
    </row>
    <row r="230" spans="2:65" x14ac:dyDescent="0.25"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  <c r="BB230" s="149"/>
      <c r="BC230" s="149"/>
      <c r="BD230" s="149"/>
      <c r="BE230" s="149"/>
      <c r="BF230" s="149"/>
      <c r="BG230" s="149"/>
      <c r="BH230" s="149"/>
      <c r="BI230" s="149"/>
      <c r="BJ230" s="149"/>
      <c r="BK230" s="149"/>
      <c r="BL230" s="79"/>
      <c r="BM230" s="149"/>
    </row>
    <row r="231" spans="2:65" x14ac:dyDescent="0.25">
      <c r="B231" s="149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  <c r="AA231" s="149"/>
      <c r="AB231" s="149"/>
      <c r="AC231" s="149"/>
      <c r="AD231" s="149"/>
      <c r="AE231" s="149"/>
      <c r="AF231" s="149"/>
      <c r="AG231" s="149"/>
      <c r="AH231" s="149"/>
      <c r="AI231" s="149"/>
      <c r="AJ231" s="149"/>
      <c r="AK231" s="149"/>
      <c r="AL231" s="149"/>
      <c r="AM231" s="149"/>
      <c r="AN231" s="149"/>
      <c r="AO231" s="149"/>
      <c r="AP231" s="149"/>
      <c r="AQ231" s="149"/>
      <c r="AR231" s="149"/>
      <c r="AS231" s="149"/>
      <c r="AT231" s="149"/>
      <c r="AU231" s="149"/>
      <c r="AV231" s="149"/>
      <c r="AW231" s="149"/>
      <c r="AX231" s="149"/>
      <c r="AY231" s="149"/>
      <c r="AZ231" s="149"/>
      <c r="BA231" s="149"/>
      <c r="BB231" s="149"/>
      <c r="BC231" s="149"/>
      <c r="BD231" s="149"/>
      <c r="BE231" s="149"/>
      <c r="BF231" s="149"/>
      <c r="BG231" s="149"/>
      <c r="BH231" s="149"/>
      <c r="BI231" s="149"/>
      <c r="BJ231" s="149"/>
      <c r="BK231" s="149"/>
      <c r="BL231" s="79"/>
      <c r="BM231" s="149"/>
    </row>
    <row r="232" spans="2:65" x14ac:dyDescent="0.25">
      <c r="B232" s="149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149"/>
      <c r="AC232" s="149"/>
      <c r="AD232" s="149"/>
      <c r="AE232" s="149"/>
      <c r="AF232" s="149"/>
      <c r="AG232" s="149"/>
      <c r="AH232" s="149"/>
      <c r="AI232" s="149"/>
      <c r="AJ232" s="149"/>
      <c r="AK232" s="149"/>
      <c r="AL232" s="149"/>
      <c r="AM232" s="149"/>
      <c r="AN232" s="149"/>
      <c r="AO232" s="149"/>
      <c r="AP232" s="149"/>
      <c r="AQ232" s="149"/>
      <c r="AR232" s="149"/>
      <c r="AS232" s="149"/>
      <c r="AT232" s="149"/>
      <c r="AU232" s="149"/>
      <c r="AV232" s="149"/>
      <c r="AW232" s="149"/>
      <c r="AX232" s="149"/>
      <c r="AY232" s="149"/>
      <c r="AZ232" s="149"/>
      <c r="BA232" s="149"/>
      <c r="BB232" s="149"/>
      <c r="BC232" s="149"/>
      <c r="BD232" s="149"/>
      <c r="BE232" s="149"/>
      <c r="BF232" s="149"/>
      <c r="BG232" s="149"/>
      <c r="BH232" s="149"/>
      <c r="BI232" s="149"/>
      <c r="BJ232" s="149"/>
      <c r="BK232" s="149"/>
      <c r="BL232" s="79"/>
      <c r="BM232" s="149"/>
    </row>
    <row r="233" spans="2:65" x14ac:dyDescent="0.25">
      <c r="B233" s="149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  <c r="AA233" s="149"/>
      <c r="AB233" s="149"/>
      <c r="AC233" s="149"/>
      <c r="AD233" s="149"/>
      <c r="AE233" s="149"/>
      <c r="AF233" s="149"/>
      <c r="AG233" s="149"/>
      <c r="AH233" s="149"/>
      <c r="AI233" s="149"/>
      <c r="AJ233" s="149"/>
      <c r="AK233" s="149"/>
      <c r="AL233" s="149"/>
      <c r="AM233" s="149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49"/>
      <c r="BB233" s="149"/>
      <c r="BC233" s="149"/>
      <c r="BD233" s="149"/>
      <c r="BE233" s="149"/>
      <c r="BF233" s="149"/>
      <c r="BG233" s="149"/>
      <c r="BH233" s="149"/>
      <c r="BI233" s="149"/>
      <c r="BJ233" s="149"/>
      <c r="BK233" s="149"/>
      <c r="BL233" s="79"/>
      <c r="BM233" s="149"/>
    </row>
    <row r="234" spans="2:65" x14ac:dyDescent="0.25">
      <c r="B234" s="149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9"/>
      <c r="AC234" s="149"/>
      <c r="AD234" s="149"/>
      <c r="AE234" s="149"/>
      <c r="AF234" s="149"/>
      <c r="AG234" s="149"/>
      <c r="AH234" s="149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  <c r="BI234" s="149"/>
      <c r="BJ234" s="149"/>
      <c r="BK234" s="149"/>
      <c r="BL234" s="79"/>
      <c r="BM234" s="149"/>
    </row>
    <row r="235" spans="2:65" x14ac:dyDescent="0.25">
      <c r="B235" s="149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149"/>
      <c r="BD235" s="149"/>
      <c r="BE235" s="149"/>
      <c r="BF235" s="149"/>
      <c r="BG235" s="149"/>
      <c r="BH235" s="149"/>
      <c r="BI235" s="149"/>
      <c r="BJ235" s="149"/>
      <c r="BK235" s="149"/>
      <c r="BL235" s="79"/>
      <c r="BM235" s="149"/>
    </row>
    <row r="236" spans="2:65" x14ac:dyDescent="0.25">
      <c r="B236" s="149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  <c r="AA236" s="149"/>
      <c r="AB236" s="149"/>
      <c r="AC236" s="149"/>
      <c r="AD236" s="149"/>
      <c r="AE236" s="149"/>
      <c r="AF236" s="149"/>
      <c r="AG236" s="149"/>
      <c r="AH236" s="149"/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  <c r="BI236" s="149"/>
      <c r="BJ236" s="149"/>
      <c r="BK236" s="149"/>
      <c r="BL236" s="79"/>
      <c r="BM236" s="149"/>
    </row>
    <row r="237" spans="2:65" x14ac:dyDescent="0.25"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  <c r="AA237" s="149"/>
      <c r="AB237" s="149"/>
      <c r="AC237" s="149"/>
      <c r="AD237" s="149"/>
      <c r="AE237" s="149"/>
      <c r="AF237" s="149"/>
      <c r="AG237" s="149"/>
      <c r="AH237" s="149"/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  <c r="BC237" s="149"/>
      <c r="BD237" s="149"/>
      <c r="BE237" s="149"/>
      <c r="BF237" s="149"/>
      <c r="BG237" s="149"/>
      <c r="BH237" s="149"/>
      <c r="BI237" s="149"/>
      <c r="BJ237" s="149"/>
      <c r="BK237" s="149"/>
      <c r="BL237" s="79"/>
      <c r="BM237" s="149"/>
    </row>
    <row r="238" spans="2:65" x14ac:dyDescent="0.25">
      <c r="B238" s="149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149"/>
      <c r="AC238" s="149"/>
      <c r="AD238" s="149"/>
      <c r="AE238" s="149"/>
      <c r="AF238" s="149"/>
      <c r="AG238" s="149"/>
      <c r="AH238" s="149"/>
      <c r="AI238" s="149"/>
      <c r="AJ238" s="149"/>
      <c r="AK238" s="149"/>
      <c r="AL238" s="149"/>
      <c r="AM238" s="149"/>
      <c r="AN238" s="149"/>
      <c r="AO238" s="149"/>
      <c r="AP238" s="149"/>
      <c r="AQ238" s="149"/>
      <c r="AR238" s="149"/>
      <c r="AS238" s="149"/>
      <c r="AT238" s="149"/>
      <c r="AU238" s="149"/>
      <c r="AV238" s="149"/>
      <c r="AW238" s="149"/>
      <c r="AX238" s="149"/>
      <c r="AY238" s="149"/>
      <c r="AZ238" s="149"/>
      <c r="BA238" s="149"/>
      <c r="BB238" s="149"/>
      <c r="BC238" s="149"/>
      <c r="BD238" s="149"/>
      <c r="BE238" s="149"/>
      <c r="BF238" s="149"/>
      <c r="BG238" s="149"/>
      <c r="BH238" s="149"/>
      <c r="BI238" s="149"/>
      <c r="BJ238" s="149"/>
      <c r="BK238" s="149"/>
      <c r="BL238" s="79"/>
      <c r="BM238" s="149"/>
    </row>
    <row r="239" spans="2:65" x14ac:dyDescent="0.25">
      <c r="B239" s="149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9"/>
      <c r="AC239" s="149"/>
      <c r="AD239" s="149"/>
      <c r="AE239" s="149"/>
      <c r="AF239" s="149"/>
      <c r="AG239" s="149"/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  <c r="BC239" s="149"/>
      <c r="BD239" s="149"/>
      <c r="BE239" s="149"/>
      <c r="BF239" s="149"/>
      <c r="BG239" s="149"/>
      <c r="BH239" s="149"/>
      <c r="BI239" s="149"/>
      <c r="BJ239" s="149"/>
      <c r="BK239" s="149"/>
      <c r="BL239" s="79"/>
      <c r="BM239" s="149"/>
    </row>
    <row r="240" spans="2:65" x14ac:dyDescent="0.25"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149"/>
      <c r="AC240" s="149"/>
      <c r="AD240" s="149"/>
      <c r="AE240" s="149"/>
      <c r="AF240" s="149"/>
      <c r="AG240" s="149"/>
      <c r="AH240" s="149"/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  <c r="BI240" s="149"/>
      <c r="BJ240" s="149"/>
      <c r="BK240" s="149"/>
      <c r="BL240" s="79"/>
      <c r="BM240" s="149"/>
    </row>
    <row r="241" spans="2:65" x14ac:dyDescent="0.25">
      <c r="B241" s="149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  <c r="AA241" s="149"/>
      <c r="AB241" s="149"/>
      <c r="AC241" s="149"/>
      <c r="AD241" s="149"/>
      <c r="AE241" s="149"/>
      <c r="AF241" s="149"/>
      <c r="AG241" s="149"/>
      <c r="AH241" s="149"/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49"/>
      <c r="AZ241" s="149"/>
      <c r="BA241" s="149"/>
      <c r="BB241" s="149"/>
      <c r="BC241" s="149"/>
      <c r="BD241" s="149"/>
      <c r="BE241" s="149"/>
      <c r="BF241" s="149"/>
      <c r="BG241" s="149"/>
      <c r="BH241" s="149"/>
      <c r="BI241" s="149"/>
      <c r="BJ241" s="149"/>
      <c r="BK241" s="149"/>
      <c r="BL241" s="79"/>
      <c r="BM241" s="149"/>
    </row>
    <row r="242" spans="2:65" x14ac:dyDescent="0.25">
      <c r="B242" s="149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  <c r="Y242" s="149"/>
      <c r="Z242" s="149"/>
      <c r="AA242" s="149"/>
      <c r="AB242" s="149"/>
      <c r="AC242" s="149"/>
      <c r="AD242" s="149"/>
      <c r="AE242" s="149"/>
      <c r="AF242" s="149"/>
      <c r="AG242" s="149"/>
      <c r="AH242" s="149"/>
      <c r="AI242" s="149"/>
      <c r="AJ242" s="149"/>
      <c r="AK242" s="149"/>
      <c r="AL242" s="149"/>
      <c r="AM242" s="149"/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49"/>
      <c r="BB242" s="149"/>
      <c r="BC242" s="149"/>
      <c r="BD242" s="149"/>
      <c r="BE242" s="149"/>
      <c r="BF242" s="149"/>
      <c r="BG242" s="149"/>
      <c r="BH242" s="149"/>
      <c r="BI242" s="149"/>
      <c r="BJ242" s="149"/>
      <c r="BK242" s="149"/>
      <c r="BL242" s="79"/>
      <c r="BM242" s="149"/>
    </row>
    <row r="243" spans="2:65" x14ac:dyDescent="0.25">
      <c r="B243" s="149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  <c r="Z243" s="149"/>
      <c r="AA243" s="149"/>
      <c r="AB243" s="149"/>
      <c r="AC243" s="149"/>
      <c r="AD243" s="149"/>
      <c r="AE243" s="149"/>
      <c r="AF243" s="149"/>
      <c r="AG243" s="149"/>
      <c r="AH243" s="149"/>
      <c r="AI243" s="149"/>
      <c r="AJ243" s="149"/>
      <c r="AK243" s="149"/>
      <c r="AL243" s="149"/>
      <c r="AM243" s="149"/>
      <c r="AN243" s="149"/>
      <c r="AO243" s="149"/>
      <c r="AP243" s="149"/>
      <c r="AQ243" s="149"/>
      <c r="AR243" s="149"/>
      <c r="AS243" s="149"/>
      <c r="AT243" s="149"/>
      <c r="AU243" s="149"/>
      <c r="AV243" s="149"/>
      <c r="AW243" s="149"/>
      <c r="AX243" s="149"/>
      <c r="AY243" s="149"/>
      <c r="AZ243" s="149"/>
      <c r="BA243" s="149"/>
      <c r="BB243" s="149"/>
      <c r="BC243" s="149"/>
      <c r="BD243" s="149"/>
      <c r="BE243" s="149"/>
      <c r="BF243" s="149"/>
      <c r="BG243" s="149"/>
      <c r="BH243" s="149"/>
      <c r="BI243" s="149"/>
      <c r="BJ243" s="149"/>
      <c r="BK243" s="149"/>
      <c r="BL243" s="79"/>
      <c r="BM243" s="149"/>
    </row>
    <row r="244" spans="2:65" x14ac:dyDescent="0.25"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  <c r="Y244" s="149"/>
      <c r="Z244" s="149"/>
      <c r="AA244" s="149"/>
      <c r="AB244" s="149"/>
      <c r="AC244" s="149"/>
      <c r="AD244" s="149"/>
      <c r="AE244" s="149"/>
      <c r="AF244" s="149"/>
      <c r="AG244" s="149"/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49"/>
      <c r="BC244" s="149"/>
      <c r="BD244" s="149"/>
      <c r="BE244" s="149"/>
      <c r="BF244" s="149"/>
      <c r="BG244" s="149"/>
      <c r="BH244" s="149"/>
      <c r="BI244" s="149"/>
      <c r="BJ244" s="149"/>
      <c r="BK244" s="149"/>
      <c r="BL244" s="79"/>
      <c r="BM244" s="149"/>
    </row>
    <row r="245" spans="2:65" x14ac:dyDescent="0.25"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  <c r="Y245" s="149"/>
      <c r="Z245" s="149"/>
      <c r="AA245" s="149"/>
      <c r="AB245" s="149"/>
      <c r="AC245" s="149"/>
      <c r="AD245" s="149"/>
      <c r="AE245" s="149"/>
      <c r="AF245" s="149"/>
      <c r="AG245" s="149"/>
      <c r="AH245" s="149"/>
      <c r="AI245" s="149"/>
      <c r="AJ245" s="149"/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49"/>
      <c r="AZ245" s="149"/>
      <c r="BA245" s="149"/>
      <c r="BB245" s="149"/>
      <c r="BC245" s="149"/>
      <c r="BD245" s="149"/>
      <c r="BE245" s="149"/>
      <c r="BF245" s="149"/>
      <c r="BG245" s="149"/>
      <c r="BH245" s="149"/>
      <c r="BI245" s="149"/>
      <c r="BJ245" s="149"/>
      <c r="BK245" s="149"/>
      <c r="BL245" s="79"/>
      <c r="BM245" s="149"/>
    </row>
    <row r="246" spans="2:65" x14ac:dyDescent="0.25"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  <c r="Z246" s="149"/>
      <c r="AA246" s="149"/>
      <c r="AB246" s="149"/>
      <c r="AC246" s="149"/>
      <c r="AD246" s="149"/>
      <c r="AE246" s="149"/>
      <c r="AF246" s="149"/>
      <c r="AG246" s="149"/>
      <c r="AH246" s="149"/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49"/>
      <c r="BB246" s="149"/>
      <c r="BC246" s="149"/>
      <c r="BD246" s="149"/>
      <c r="BE246" s="149"/>
      <c r="BF246" s="149"/>
      <c r="BG246" s="149"/>
      <c r="BH246" s="149"/>
      <c r="BI246" s="149"/>
      <c r="BJ246" s="149"/>
      <c r="BK246" s="149"/>
      <c r="BL246" s="79"/>
      <c r="BM246" s="149"/>
    </row>
    <row r="247" spans="2:65" x14ac:dyDescent="0.25">
      <c r="B247" s="149"/>
      <c r="C247" s="149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  <c r="Z247" s="149"/>
      <c r="AA247" s="149"/>
      <c r="AB247" s="149"/>
      <c r="AC247" s="149"/>
      <c r="AD247" s="149"/>
      <c r="AE247" s="149"/>
      <c r="AF247" s="149"/>
      <c r="AG247" s="149"/>
      <c r="AH247" s="149"/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  <c r="BI247" s="149"/>
      <c r="BJ247" s="149"/>
      <c r="BK247" s="149"/>
      <c r="BL247" s="79"/>
      <c r="BM247" s="149"/>
    </row>
    <row r="248" spans="2:65" x14ac:dyDescent="0.25">
      <c r="B248" s="149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9"/>
      <c r="AC248" s="149"/>
      <c r="AD248" s="149"/>
      <c r="AE248" s="149"/>
      <c r="AF248" s="149"/>
      <c r="AG248" s="149"/>
      <c r="AH248" s="149"/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  <c r="BI248" s="149"/>
      <c r="BJ248" s="149"/>
      <c r="BK248" s="149"/>
      <c r="BL248" s="79"/>
      <c r="BM248" s="149"/>
    </row>
    <row r="249" spans="2:65" x14ac:dyDescent="0.25">
      <c r="B249" s="149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  <c r="AA249" s="149"/>
      <c r="AB249" s="149"/>
      <c r="AC249" s="149"/>
      <c r="AD249" s="149"/>
      <c r="AE249" s="149"/>
      <c r="AF249" s="149"/>
      <c r="AG249" s="149"/>
      <c r="AH249" s="149"/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  <c r="BI249" s="149"/>
      <c r="BJ249" s="149"/>
      <c r="BK249" s="149"/>
      <c r="BL249" s="79"/>
      <c r="BM249" s="149"/>
    </row>
    <row r="250" spans="2:65" x14ac:dyDescent="0.25">
      <c r="B250" s="149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  <c r="Z250" s="149"/>
      <c r="AA250" s="149"/>
      <c r="AB250" s="149"/>
      <c r="AC250" s="149"/>
      <c r="AD250" s="149"/>
      <c r="AE250" s="149"/>
      <c r="AF250" s="149"/>
      <c r="AG250" s="149"/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  <c r="BI250" s="149"/>
      <c r="BJ250" s="149"/>
      <c r="BK250" s="149"/>
      <c r="BL250" s="79"/>
      <c r="BM250" s="149"/>
    </row>
    <row r="251" spans="2:65" x14ac:dyDescent="0.25">
      <c r="B251" s="149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  <c r="Z251" s="149"/>
      <c r="AA251" s="149"/>
      <c r="AB251" s="149"/>
      <c r="AC251" s="149"/>
      <c r="AD251" s="149"/>
      <c r="AE251" s="149"/>
      <c r="AF251" s="149"/>
      <c r="AG251" s="149"/>
      <c r="AH251" s="149"/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49"/>
      <c r="BC251" s="149"/>
      <c r="BD251" s="149"/>
      <c r="BE251" s="149"/>
      <c r="BF251" s="149"/>
      <c r="BG251" s="149"/>
      <c r="BH251" s="149"/>
      <c r="BI251" s="149"/>
      <c r="BJ251" s="149"/>
      <c r="BK251" s="149"/>
      <c r="BL251" s="79"/>
      <c r="BM251" s="149"/>
    </row>
    <row r="252" spans="2:65" x14ac:dyDescent="0.25">
      <c r="B252" s="149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  <c r="Z252" s="149"/>
      <c r="AA252" s="149"/>
      <c r="AB252" s="149"/>
      <c r="AC252" s="149"/>
      <c r="AD252" s="149"/>
      <c r="AE252" s="149"/>
      <c r="AF252" s="149"/>
      <c r="AG252" s="149"/>
      <c r="AH252" s="149"/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  <c r="BI252" s="149"/>
      <c r="BJ252" s="149"/>
      <c r="BK252" s="149"/>
      <c r="BL252" s="79"/>
      <c r="BM252" s="149"/>
    </row>
    <row r="253" spans="2:65" x14ac:dyDescent="0.25">
      <c r="B253" s="149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  <c r="Z253" s="149"/>
      <c r="AA253" s="149"/>
      <c r="AB253" s="149"/>
      <c r="AC253" s="149"/>
      <c r="AD253" s="149"/>
      <c r="AE253" s="149"/>
      <c r="AF253" s="149"/>
      <c r="AG253" s="149"/>
      <c r="AH253" s="149"/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  <c r="BI253" s="149"/>
      <c r="BJ253" s="149"/>
      <c r="BK253" s="149"/>
      <c r="BL253" s="79"/>
      <c r="BM253" s="149"/>
    </row>
    <row r="254" spans="2:65" x14ac:dyDescent="0.25">
      <c r="B254" s="149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49"/>
      <c r="AF254" s="149"/>
      <c r="AG254" s="149"/>
      <c r="AH254" s="149"/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49"/>
      <c r="AZ254" s="149"/>
      <c r="BA254" s="149"/>
      <c r="BB254" s="149"/>
      <c r="BC254" s="149"/>
      <c r="BD254" s="149"/>
      <c r="BE254" s="149"/>
      <c r="BF254" s="149"/>
      <c r="BG254" s="149"/>
      <c r="BH254" s="149"/>
      <c r="BI254" s="149"/>
      <c r="BJ254" s="149"/>
      <c r="BK254" s="149"/>
      <c r="BL254" s="79"/>
      <c r="BM254" s="149"/>
    </row>
    <row r="255" spans="2:65" x14ac:dyDescent="0.25">
      <c r="B255" s="149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  <c r="AA255" s="149"/>
      <c r="AB255" s="149"/>
      <c r="AC255" s="149"/>
      <c r="AD255" s="149"/>
      <c r="AE255" s="149"/>
      <c r="AF255" s="149"/>
      <c r="AG255" s="149"/>
      <c r="AH255" s="149"/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  <c r="BI255" s="149"/>
      <c r="BJ255" s="149"/>
      <c r="BK255" s="149"/>
      <c r="BL255" s="79"/>
      <c r="BM255" s="149"/>
    </row>
    <row r="256" spans="2:65" x14ac:dyDescent="0.25">
      <c r="B256" s="149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  <c r="AA256" s="149"/>
      <c r="AB256" s="149"/>
      <c r="AC256" s="149"/>
      <c r="AD256" s="149"/>
      <c r="AE256" s="149"/>
      <c r="AF256" s="149"/>
      <c r="AG256" s="149"/>
      <c r="AH256" s="149"/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49"/>
      <c r="BI256" s="149"/>
      <c r="BJ256" s="149"/>
      <c r="BK256" s="149"/>
      <c r="BL256" s="79"/>
      <c r="BM256" s="149"/>
    </row>
    <row r="257" spans="2:65" x14ac:dyDescent="0.25">
      <c r="B257" s="149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  <c r="AA257" s="149"/>
      <c r="AB257" s="149"/>
      <c r="AC257" s="149"/>
      <c r="AD257" s="149"/>
      <c r="AE257" s="149"/>
      <c r="AF257" s="149"/>
      <c r="AG257" s="149"/>
      <c r="AH257" s="149"/>
      <c r="AI257" s="149"/>
      <c r="AJ257" s="14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49"/>
      <c r="AZ257" s="149"/>
      <c r="BA257" s="149"/>
      <c r="BB257" s="149"/>
      <c r="BC257" s="149"/>
      <c r="BD257" s="149"/>
      <c r="BE257" s="149"/>
      <c r="BF257" s="149"/>
      <c r="BG257" s="149"/>
      <c r="BH257" s="149"/>
      <c r="BI257" s="149"/>
      <c r="BJ257" s="149"/>
      <c r="BK257" s="149"/>
      <c r="BL257" s="79"/>
      <c r="BM257" s="149"/>
    </row>
    <row r="258" spans="2:65" x14ac:dyDescent="0.25">
      <c r="B258" s="149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  <c r="AA258" s="149"/>
      <c r="AB258" s="149"/>
      <c r="AC258" s="149"/>
      <c r="AD258" s="149"/>
      <c r="AE258" s="149"/>
      <c r="AF258" s="149"/>
      <c r="AG258" s="149"/>
      <c r="AH258" s="149"/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49"/>
      <c r="AZ258" s="149"/>
      <c r="BA258" s="149"/>
      <c r="BB258" s="149"/>
      <c r="BC258" s="149"/>
      <c r="BD258" s="149"/>
      <c r="BE258" s="149"/>
      <c r="BF258" s="149"/>
      <c r="BG258" s="149"/>
      <c r="BH258" s="149"/>
      <c r="BI258" s="149"/>
      <c r="BJ258" s="149"/>
      <c r="BK258" s="149"/>
      <c r="BL258" s="79"/>
      <c r="BM258" s="149"/>
    </row>
    <row r="259" spans="2:65" x14ac:dyDescent="0.25">
      <c r="B259" s="149"/>
      <c r="C259" s="149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9"/>
      <c r="AC259" s="149"/>
      <c r="AD259" s="149"/>
      <c r="AE259" s="149"/>
      <c r="AF259" s="149"/>
      <c r="AG259" s="149"/>
      <c r="AH259" s="149"/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  <c r="BI259" s="149"/>
      <c r="BJ259" s="149"/>
      <c r="BK259" s="149"/>
      <c r="BL259" s="79"/>
      <c r="BM259" s="149"/>
    </row>
    <row r="260" spans="2:65" x14ac:dyDescent="0.25">
      <c r="B260" s="149"/>
      <c r="C260" s="149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  <c r="Z260" s="149"/>
      <c r="AA260" s="149"/>
      <c r="AB260" s="149"/>
      <c r="AC260" s="149"/>
      <c r="AD260" s="149"/>
      <c r="AE260" s="149"/>
      <c r="AF260" s="149"/>
      <c r="AG260" s="149"/>
      <c r="AH260" s="149"/>
      <c r="AI260" s="149"/>
      <c r="AJ260" s="149"/>
      <c r="AK260" s="149"/>
      <c r="AL260" s="149"/>
      <c r="AM260" s="149"/>
      <c r="AN260" s="149"/>
      <c r="AO260" s="149"/>
      <c r="AP260" s="149"/>
      <c r="AQ260" s="149"/>
      <c r="AR260" s="149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49"/>
      <c r="BF260" s="149"/>
      <c r="BG260" s="149"/>
      <c r="BH260" s="149"/>
      <c r="BI260" s="149"/>
      <c r="BJ260" s="149"/>
      <c r="BK260" s="149"/>
      <c r="BL260" s="79"/>
      <c r="BM260" s="149"/>
    </row>
    <row r="261" spans="2:65" x14ac:dyDescent="0.25">
      <c r="B261" s="149"/>
      <c r="C261" s="149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  <c r="Z261" s="149"/>
      <c r="AA261" s="149"/>
      <c r="AB261" s="149"/>
      <c r="AC261" s="149"/>
      <c r="AD261" s="149"/>
      <c r="AE261" s="149"/>
      <c r="AF261" s="149"/>
      <c r="AG261" s="149"/>
      <c r="AH261" s="149"/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  <c r="BI261" s="149"/>
      <c r="BJ261" s="149"/>
      <c r="BK261" s="149"/>
      <c r="BL261" s="79"/>
      <c r="BM261" s="149"/>
    </row>
    <row r="262" spans="2:65" x14ac:dyDescent="0.25">
      <c r="B262" s="149"/>
      <c r="C262" s="149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  <c r="BI262" s="149"/>
      <c r="BJ262" s="149"/>
      <c r="BK262" s="149"/>
      <c r="BL262" s="79"/>
      <c r="BM262" s="149"/>
    </row>
    <row r="263" spans="2:65" x14ac:dyDescent="0.25">
      <c r="B263" s="149"/>
      <c r="C263" s="149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  <c r="AA263" s="149"/>
      <c r="AB263" s="149"/>
      <c r="AC263" s="149"/>
      <c r="AD263" s="149"/>
      <c r="AE263" s="149"/>
      <c r="AF263" s="149"/>
      <c r="AG263" s="149"/>
      <c r="AH263" s="149"/>
      <c r="AI263" s="149"/>
      <c r="AJ263" s="149"/>
      <c r="AK263" s="149"/>
      <c r="AL263" s="149"/>
      <c r="AM263" s="149"/>
      <c r="AN263" s="149"/>
      <c r="AO263" s="149"/>
      <c r="AP263" s="149"/>
      <c r="AQ263" s="149"/>
      <c r="AR263" s="149"/>
      <c r="AS263" s="149"/>
      <c r="AT263" s="149"/>
      <c r="AU263" s="149"/>
      <c r="AV263" s="149"/>
      <c r="AW263" s="149"/>
      <c r="AX263" s="149"/>
      <c r="AY263" s="149"/>
      <c r="AZ263" s="149"/>
      <c r="BA263" s="149"/>
      <c r="BB263" s="149"/>
      <c r="BC263" s="149"/>
      <c r="BD263" s="149"/>
      <c r="BE263" s="149"/>
      <c r="BF263" s="149"/>
      <c r="BG263" s="149"/>
      <c r="BH263" s="149"/>
      <c r="BI263" s="149"/>
      <c r="BJ263" s="149"/>
      <c r="BK263" s="149"/>
      <c r="BL263" s="79"/>
      <c r="BM263" s="149"/>
    </row>
    <row r="264" spans="2:65" x14ac:dyDescent="0.25">
      <c r="B264" s="149"/>
      <c r="C264" s="149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  <c r="Z264" s="149"/>
      <c r="AA264" s="149"/>
      <c r="AB264" s="149"/>
      <c r="AC264" s="149"/>
      <c r="AD264" s="149"/>
      <c r="AE264" s="149"/>
      <c r="AF264" s="149"/>
      <c r="AG264" s="149"/>
      <c r="AH264" s="149"/>
      <c r="AI264" s="149"/>
      <c r="AJ264" s="149"/>
      <c r="AK264" s="149"/>
      <c r="AL264" s="149"/>
      <c r="AM264" s="149"/>
      <c r="AN264" s="149"/>
      <c r="AO264" s="149"/>
      <c r="AP264" s="149"/>
      <c r="AQ264" s="149"/>
      <c r="AR264" s="149"/>
      <c r="AS264" s="149"/>
      <c r="AT264" s="149"/>
      <c r="AU264" s="149"/>
      <c r="AV264" s="149"/>
      <c r="AW264" s="149"/>
      <c r="AX264" s="149"/>
      <c r="AY264" s="149"/>
      <c r="AZ264" s="149"/>
      <c r="BA264" s="149"/>
      <c r="BB264" s="149"/>
      <c r="BC264" s="149"/>
      <c r="BD264" s="149"/>
      <c r="BE264" s="149"/>
      <c r="BF264" s="149"/>
      <c r="BG264" s="149"/>
      <c r="BH264" s="149"/>
      <c r="BI264" s="149"/>
      <c r="BJ264" s="149"/>
      <c r="BK264" s="149"/>
      <c r="BL264" s="79"/>
      <c r="BM264" s="149"/>
    </row>
    <row r="265" spans="2:65" x14ac:dyDescent="0.25">
      <c r="B265" s="149"/>
      <c r="C265" s="149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  <c r="Z265" s="149"/>
      <c r="AA265" s="149"/>
      <c r="AB265" s="149"/>
      <c r="AC265" s="149"/>
      <c r="AD265" s="149"/>
      <c r="AE265" s="149"/>
      <c r="AF265" s="149"/>
      <c r="AG265" s="149"/>
      <c r="AH265" s="149"/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  <c r="BI265" s="149"/>
      <c r="BJ265" s="149"/>
      <c r="BK265" s="149"/>
      <c r="BL265" s="79"/>
      <c r="BM265" s="149"/>
    </row>
    <row r="266" spans="2:65" x14ac:dyDescent="0.25">
      <c r="B266" s="149"/>
      <c r="C266" s="149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  <c r="Z266" s="149"/>
      <c r="AA266" s="149"/>
      <c r="AB266" s="149"/>
      <c r="AC266" s="149"/>
      <c r="AD266" s="149"/>
      <c r="AE266" s="149"/>
      <c r="AF266" s="149"/>
      <c r="AG266" s="149"/>
      <c r="AH266" s="149"/>
      <c r="AI266" s="149"/>
      <c r="AJ266" s="149"/>
      <c r="AK266" s="149"/>
      <c r="AL266" s="149"/>
      <c r="AM266" s="149"/>
      <c r="AN266" s="149"/>
      <c r="AO266" s="149"/>
      <c r="AP266" s="149"/>
      <c r="AQ266" s="149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149"/>
      <c r="BC266" s="149"/>
      <c r="BD266" s="149"/>
      <c r="BE266" s="149"/>
      <c r="BF266" s="149"/>
      <c r="BG266" s="149"/>
      <c r="BH266" s="149"/>
      <c r="BI266" s="149"/>
      <c r="BJ266" s="149"/>
      <c r="BK266" s="149"/>
      <c r="BL266" s="79"/>
      <c r="BM266" s="149"/>
    </row>
    <row r="267" spans="2:65" x14ac:dyDescent="0.25">
      <c r="B267" s="149"/>
      <c r="C267" s="149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  <c r="Y267" s="14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49"/>
      <c r="BC267" s="149"/>
      <c r="BD267" s="149"/>
      <c r="BE267" s="149"/>
      <c r="BF267" s="149"/>
      <c r="BG267" s="149"/>
      <c r="BH267" s="149"/>
      <c r="BI267" s="149"/>
      <c r="BJ267" s="149"/>
      <c r="BK267" s="149"/>
      <c r="BL267" s="79"/>
      <c r="BM267" s="149"/>
    </row>
    <row r="268" spans="2:65" x14ac:dyDescent="0.25">
      <c r="B268" s="149"/>
      <c r="C268" s="149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  <c r="Y268" s="149"/>
      <c r="Z268" s="149"/>
      <c r="AA268" s="149"/>
      <c r="AB268" s="149"/>
      <c r="AC268" s="149"/>
      <c r="AD268" s="149"/>
      <c r="AE268" s="149"/>
      <c r="AF268" s="149"/>
      <c r="AG268" s="149"/>
      <c r="AH268" s="149"/>
      <c r="AI268" s="149"/>
      <c r="AJ268" s="149"/>
      <c r="AK268" s="149"/>
      <c r="AL268" s="149"/>
      <c r="AM268" s="149"/>
      <c r="AN268" s="149"/>
      <c r="AO268" s="149"/>
      <c r="AP268" s="149"/>
      <c r="AQ268" s="149"/>
      <c r="AR268" s="149"/>
      <c r="AS268" s="149"/>
      <c r="AT268" s="149"/>
      <c r="AU268" s="149"/>
      <c r="AV268" s="149"/>
      <c r="AW268" s="149"/>
      <c r="AX268" s="149"/>
      <c r="AY268" s="149"/>
      <c r="AZ268" s="149"/>
      <c r="BA268" s="149"/>
      <c r="BB268" s="149"/>
      <c r="BC268" s="149"/>
      <c r="BD268" s="149"/>
      <c r="BE268" s="149"/>
      <c r="BF268" s="149"/>
      <c r="BG268" s="149"/>
      <c r="BH268" s="149"/>
      <c r="BI268" s="149"/>
      <c r="BJ268" s="149"/>
      <c r="BK268" s="149"/>
      <c r="BL268" s="79"/>
      <c r="BM268" s="149"/>
    </row>
    <row r="269" spans="2:65" x14ac:dyDescent="0.25">
      <c r="B269" s="149"/>
      <c r="C269" s="149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  <c r="Y269" s="149"/>
      <c r="Z269" s="149"/>
      <c r="AA269" s="149"/>
      <c r="AB269" s="149"/>
      <c r="AC269" s="149"/>
      <c r="AD269" s="149"/>
      <c r="AE269" s="149"/>
      <c r="AF269" s="149"/>
      <c r="AG269" s="149"/>
      <c r="AH269" s="149"/>
      <c r="AI269" s="149"/>
      <c r="AJ269" s="149"/>
      <c r="AK269" s="149"/>
      <c r="AL269" s="149"/>
      <c r="AM269" s="149"/>
      <c r="AN269" s="149"/>
      <c r="AO269" s="149"/>
      <c r="AP269" s="149"/>
      <c r="AQ269" s="149"/>
      <c r="AR269" s="149"/>
      <c r="AS269" s="149"/>
      <c r="AT269" s="149"/>
      <c r="AU269" s="149"/>
      <c r="AV269" s="149"/>
      <c r="AW269" s="149"/>
      <c r="AX269" s="149"/>
      <c r="AY269" s="149"/>
      <c r="AZ269" s="149"/>
      <c r="BA269" s="149"/>
      <c r="BB269" s="149"/>
      <c r="BC269" s="149"/>
      <c r="BD269" s="149"/>
      <c r="BE269" s="149"/>
      <c r="BF269" s="149"/>
      <c r="BG269" s="149"/>
      <c r="BH269" s="149"/>
      <c r="BI269" s="149"/>
      <c r="BJ269" s="149"/>
      <c r="BK269" s="149"/>
      <c r="BL269" s="79"/>
      <c r="BM269" s="149"/>
    </row>
    <row r="270" spans="2:65" x14ac:dyDescent="0.25">
      <c r="B270" s="149"/>
      <c r="C270" s="149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  <c r="Y270" s="149"/>
      <c r="Z270" s="149"/>
      <c r="AA270" s="149"/>
      <c r="AB270" s="149"/>
      <c r="AC270" s="149"/>
      <c r="AD270" s="149"/>
      <c r="AE270" s="149"/>
      <c r="AF270" s="149"/>
      <c r="AG270" s="149"/>
      <c r="AH270" s="149"/>
      <c r="AI270" s="149"/>
      <c r="AJ270" s="149"/>
      <c r="AK270" s="149"/>
      <c r="AL270" s="149"/>
      <c r="AM270" s="149"/>
      <c r="AN270" s="149"/>
      <c r="AO270" s="149"/>
      <c r="AP270" s="149"/>
      <c r="AQ270" s="149"/>
      <c r="AR270" s="149"/>
      <c r="AS270" s="149"/>
      <c r="AT270" s="149"/>
      <c r="AU270" s="149"/>
      <c r="AV270" s="149"/>
      <c r="AW270" s="149"/>
      <c r="AX270" s="149"/>
      <c r="AY270" s="149"/>
      <c r="AZ270" s="149"/>
      <c r="BA270" s="149"/>
      <c r="BB270" s="149"/>
      <c r="BC270" s="149"/>
      <c r="BD270" s="149"/>
      <c r="BE270" s="149"/>
      <c r="BF270" s="149"/>
      <c r="BG270" s="149"/>
      <c r="BH270" s="149"/>
      <c r="BI270" s="149"/>
      <c r="BJ270" s="149"/>
      <c r="BK270" s="149"/>
      <c r="BL270" s="79"/>
      <c r="BM270" s="149"/>
    </row>
    <row r="271" spans="2:65" x14ac:dyDescent="0.25">
      <c r="B271" s="149"/>
      <c r="C271" s="149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  <c r="Y271" s="149"/>
      <c r="Z271" s="149"/>
      <c r="AA271" s="149"/>
      <c r="AB271" s="149"/>
      <c r="AC271" s="149"/>
      <c r="AD271" s="149"/>
      <c r="AE271" s="149"/>
      <c r="AF271" s="149"/>
      <c r="AG271" s="149"/>
      <c r="AH271" s="149"/>
      <c r="AI271" s="149"/>
      <c r="AJ271" s="149"/>
      <c r="AK271" s="149"/>
      <c r="AL271" s="149"/>
      <c r="AM271" s="149"/>
      <c r="AN271" s="149"/>
      <c r="AO271" s="149"/>
      <c r="AP271" s="149"/>
      <c r="AQ271" s="149"/>
      <c r="AR271" s="149"/>
      <c r="AS271" s="149"/>
      <c r="AT271" s="149"/>
      <c r="AU271" s="149"/>
      <c r="AV271" s="149"/>
      <c r="AW271" s="149"/>
      <c r="AX271" s="149"/>
      <c r="AY271" s="149"/>
      <c r="AZ271" s="149"/>
      <c r="BA271" s="149"/>
      <c r="BB271" s="149"/>
      <c r="BC271" s="149"/>
      <c r="BD271" s="149"/>
      <c r="BE271" s="149"/>
      <c r="BF271" s="149"/>
      <c r="BG271" s="149"/>
      <c r="BH271" s="149"/>
      <c r="BI271" s="149"/>
      <c r="BJ271" s="149"/>
      <c r="BK271" s="149"/>
      <c r="BL271" s="79"/>
      <c r="BM271" s="149"/>
    </row>
    <row r="272" spans="2:65" x14ac:dyDescent="0.25"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  <c r="Y272" s="149"/>
      <c r="Z272" s="149"/>
      <c r="AA272" s="149"/>
      <c r="AB272" s="149"/>
      <c r="AC272" s="149"/>
      <c r="AD272" s="149"/>
      <c r="AE272" s="149"/>
      <c r="AF272" s="149"/>
      <c r="AG272" s="149"/>
      <c r="AH272" s="149"/>
      <c r="AI272" s="149"/>
      <c r="AJ272" s="149"/>
      <c r="AK272" s="149"/>
      <c r="AL272" s="149"/>
      <c r="AM272" s="149"/>
      <c r="AN272" s="149"/>
      <c r="AO272" s="149"/>
      <c r="AP272" s="149"/>
      <c r="AQ272" s="149"/>
      <c r="AR272" s="149"/>
      <c r="AS272" s="149"/>
      <c r="AT272" s="149"/>
      <c r="AU272" s="149"/>
      <c r="AV272" s="149"/>
      <c r="AW272" s="149"/>
      <c r="AX272" s="149"/>
      <c r="AY272" s="149"/>
      <c r="AZ272" s="149"/>
      <c r="BA272" s="149"/>
      <c r="BB272" s="149"/>
      <c r="BC272" s="149"/>
      <c r="BD272" s="149"/>
      <c r="BE272" s="149"/>
      <c r="BF272" s="149"/>
      <c r="BG272" s="149"/>
      <c r="BH272" s="149"/>
      <c r="BI272" s="149"/>
      <c r="BJ272" s="149"/>
      <c r="BK272" s="149"/>
      <c r="BL272" s="79"/>
      <c r="BM272" s="149"/>
    </row>
    <row r="273" spans="2:65" x14ac:dyDescent="0.25">
      <c r="B273" s="149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49"/>
      <c r="Z273" s="149"/>
      <c r="AA273" s="149"/>
      <c r="AB273" s="149"/>
      <c r="AC273" s="149"/>
      <c r="AD273" s="149"/>
      <c r="AE273" s="149"/>
      <c r="AF273" s="149"/>
      <c r="AG273" s="149"/>
      <c r="AH273" s="149"/>
      <c r="AI273" s="149"/>
      <c r="AJ273" s="149"/>
      <c r="AK273" s="149"/>
      <c r="AL273" s="149"/>
      <c r="AM273" s="149"/>
      <c r="AN273" s="149"/>
      <c r="AO273" s="149"/>
      <c r="AP273" s="149"/>
      <c r="AQ273" s="149"/>
      <c r="AR273" s="149"/>
      <c r="AS273" s="149"/>
      <c r="AT273" s="149"/>
      <c r="AU273" s="149"/>
      <c r="AV273" s="149"/>
      <c r="AW273" s="149"/>
      <c r="AX273" s="149"/>
      <c r="AY273" s="149"/>
      <c r="AZ273" s="149"/>
      <c r="BA273" s="149"/>
      <c r="BB273" s="149"/>
      <c r="BC273" s="149"/>
      <c r="BD273" s="149"/>
      <c r="BE273" s="149"/>
      <c r="BF273" s="149"/>
      <c r="BG273" s="149"/>
      <c r="BH273" s="149"/>
      <c r="BI273" s="149"/>
      <c r="BJ273" s="149"/>
      <c r="BK273" s="149"/>
      <c r="BL273" s="79"/>
      <c r="BM273" s="149"/>
    </row>
    <row r="274" spans="2:65" x14ac:dyDescent="0.25">
      <c r="B274" s="149"/>
      <c r="C274" s="149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49"/>
      <c r="Z274" s="149"/>
      <c r="AA274" s="149"/>
      <c r="AB274" s="149"/>
      <c r="AC274" s="149"/>
      <c r="AD274" s="149"/>
      <c r="AE274" s="149"/>
      <c r="AF274" s="149"/>
      <c r="AG274" s="149"/>
      <c r="AH274" s="149"/>
      <c r="AI274" s="149"/>
      <c r="AJ274" s="149"/>
      <c r="AK274" s="149"/>
      <c r="AL274" s="149"/>
      <c r="AM274" s="149"/>
      <c r="AN274" s="149"/>
      <c r="AO274" s="149"/>
      <c r="AP274" s="149"/>
      <c r="AQ274" s="149"/>
      <c r="AR274" s="149"/>
      <c r="AS274" s="149"/>
      <c r="AT274" s="149"/>
      <c r="AU274" s="149"/>
      <c r="AV274" s="149"/>
      <c r="AW274" s="149"/>
      <c r="AX274" s="149"/>
      <c r="AY274" s="149"/>
      <c r="AZ274" s="149"/>
      <c r="BA274" s="149"/>
      <c r="BB274" s="149"/>
      <c r="BC274" s="149"/>
      <c r="BD274" s="149"/>
      <c r="BE274" s="149"/>
      <c r="BF274" s="149"/>
      <c r="BG274" s="149"/>
      <c r="BH274" s="149"/>
      <c r="BI274" s="149"/>
      <c r="BJ274" s="149"/>
      <c r="BK274" s="149"/>
      <c r="BL274" s="79"/>
      <c r="BM274" s="149"/>
    </row>
    <row r="275" spans="2:65" x14ac:dyDescent="0.25">
      <c r="B275" s="149"/>
      <c r="C275" s="149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  <c r="Z275" s="149"/>
      <c r="AA275" s="149"/>
      <c r="AB275" s="149"/>
      <c r="AC275" s="149"/>
      <c r="AD275" s="149"/>
      <c r="AE275" s="149"/>
      <c r="AF275" s="149"/>
      <c r="AG275" s="149"/>
      <c r="AH275" s="149"/>
      <c r="AI275" s="149"/>
      <c r="AJ275" s="149"/>
      <c r="AK275" s="149"/>
      <c r="AL275" s="149"/>
      <c r="AM275" s="149"/>
      <c r="AN275" s="149"/>
      <c r="AO275" s="149"/>
      <c r="AP275" s="149"/>
      <c r="AQ275" s="149"/>
      <c r="AR275" s="149"/>
      <c r="AS275" s="149"/>
      <c r="AT275" s="149"/>
      <c r="AU275" s="149"/>
      <c r="AV275" s="149"/>
      <c r="AW275" s="149"/>
      <c r="AX275" s="149"/>
      <c r="AY275" s="149"/>
      <c r="AZ275" s="149"/>
      <c r="BA275" s="149"/>
      <c r="BB275" s="149"/>
      <c r="BC275" s="149"/>
      <c r="BD275" s="149"/>
      <c r="BE275" s="149"/>
      <c r="BF275" s="149"/>
      <c r="BG275" s="149"/>
      <c r="BH275" s="149"/>
      <c r="BI275" s="149"/>
      <c r="BJ275" s="149"/>
      <c r="BK275" s="149"/>
      <c r="BL275" s="79"/>
      <c r="BM275" s="149"/>
    </row>
    <row r="276" spans="2:65" x14ac:dyDescent="0.25">
      <c r="B276" s="149"/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49"/>
      <c r="Z276" s="149"/>
      <c r="AA276" s="149"/>
      <c r="AB276" s="149"/>
      <c r="AC276" s="149"/>
      <c r="AD276" s="149"/>
      <c r="AE276" s="149"/>
      <c r="AF276" s="149"/>
      <c r="AG276" s="149"/>
      <c r="AH276" s="149"/>
      <c r="AI276" s="149"/>
      <c r="AJ276" s="149"/>
      <c r="AK276" s="149"/>
      <c r="AL276" s="149"/>
      <c r="AM276" s="149"/>
      <c r="AN276" s="149"/>
      <c r="AO276" s="149"/>
      <c r="AP276" s="149"/>
      <c r="AQ276" s="149"/>
      <c r="AR276" s="149"/>
      <c r="AS276" s="149"/>
      <c r="AT276" s="149"/>
      <c r="AU276" s="149"/>
      <c r="AV276" s="149"/>
      <c r="AW276" s="149"/>
      <c r="AX276" s="149"/>
      <c r="AY276" s="149"/>
      <c r="AZ276" s="149"/>
      <c r="BA276" s="149"/>
      <c r="BB276" s="149"/>
      <c r="BC276" s="149"/>
      <c r="BD276" s="149"/>
      <c r="BE276" s="149"/>
      <c r="BF276" s="149"/>
      <c r="BG276" s="149"/>
      <c r="BH276" s="149"/>
      <c r="BI276" s="149"/>
      <c r="BJ276" s="149"/>
      <c r="BK276" s="149"/>
      <c r="BL276" s="79"/>
      <c r="BM276" s="149"/>
    </row>
    <row r="277" spans="2:65" x14ac:dyDescent="0.25">
      <c r="B277" s="149"/>
      <c r="C277" s="149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  <c r="Y277" s="149"/>
      <c r="Z277" s="149"/>
      <c r="AA277" s="149"/>
      <c r="AB277" s="149"/>
      <c r="AC277" s="149"/>
      <c r="AD277" s="149"/>
      <c r="AE277" s="149"/>
      <c r="AF277" s="149"/>
      <c r="AG277" s="149"/>
      <c r="AH277" s="149"/>
      <c r="AI277" s="149"/>
      <c r="AJ277" s="149"/>
      <c r="AK277" s="149"/>
      <c r="AL277" s="149"/>
      <c r="AM277" s="149"/>
      <c r="AN277" s="149"/>
      <c r="AO277" s="149"/>
      <c r="AP277" s="149"/>
      <c r="AQ277" s="149"/>
      <c r="AR277" s="149"/>
      <c r="AS277" s="149"/>
      <c r="AT277" s="149"/>
      <c r="AU277" s="149"/>
      <c r="AV277" s="149"/>
      <c r="AW277" s="149"/>
      <c r="AX277" s="149"/>
      <c r="AY277" s="149"/>
      <c r="AZ277" s="149"/>
      <c r="BA277" s="149"/>
      <c r="BB277" s="149"/>
      <c r="BC277" s="149"/>
      <c r="BD277" s="149"/>
      <c r="BE277" s="149"/>
      <c r="BF277" s="149"/>
      <c r="BG277" s="149"/>
      <c r="BH277" s="149"/>
      <c r="BI277" s="149"/>
      <c r="BJ277" s="149"/>
      <c r="BK277" s="149"/>
      <c r="BL277" s="79"/>
      <c r="BM277" s="149"/>
    </row>
    <row r="278" spans="2:65" x14ac:dyDescent="0.25">
      <c r="B278" s="149"/>
      <c r="C278" s="149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  <c r="Y278" s="149"/>
      <c r="Z278" s="149"/>
      <c r="AA278" s="149"/>
      <c r="AB278" s="149"/>
      <c r="AC278" s="149"/>
      <c r="AD278" s="149"/>
      <c r="AE278" s="149"/>
      <c r="AF278" s="149"/>
      <c r="AG278" s="149"/>
      <c r="AH278" s="149"/>
      <c r="AI278" s="149"/>
      <c r="AJ278" s="149"/>
      <c r="AK278" s="149"/>
      <c r="AL278" s="149"/>
      <c r="AM278" s="149"/>
      <c r="AN278" s="149"/>
      <c r="AO278" s="149"/>
      <c r="AP278" s="149"/>
      <c r="AQ278" s="149"/>
      <c r="AR278" s="149"/>
      <c r="AS278" s="149"/>
      <c r="AT278" s="149"/>
      <c r="AU278" s="149"/>
      <c r="AV278" s="149"/>
      <c r="AW278" s="149"/>
      <c r="AX278" s="149"/>
      <c r="AY278" s="149"/>
      <c r="AZ278" s="149"/>
      <c r="BA278" s="149"/>
      <c r="BB278" s="149"/>
      <c r="BC278" s="149"/>
      <c r="BD278" s="149"/>
      <c r="BE278" s="149"/>
      <c r="BF278" s="149"/>
      <c r="BG278" s="149"/>
      <c r="BH278" s="149"/>
      <c r="BI278" s="149"/>
      <c r="BJ278" s="149"/>
      <c r="BK278" s="149"/>
      <c r="BL278" s="79"/>
      <c r="BM278" s="149"/>
    </row>
    <row r="279" spans="2:65" x14ac:dyDescent="0.25">
      <c r="B279" s="149"/>
      <c r="C279" s="149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  <c r="Z279" s="149"/>
      <c r="AA279" s="149"/>
      <c r="AB279" s="149"/>
      <c r="AC279" s="149"/>
      <c r="AD279" s="149"/>
      <c r="AE279" s="149"/>
      <c r="AF279" s="149"/>
      <c r="AG279" s="149"/>
      <c r="AH279" s="149"/>
      <c r="AI279" s="149"/>
      <c r="AJ279" s="149"/>
      <c r="AK279" s="149"/>
      <c r="AL279" s="149"/>
      <c r="AM279" s="149"/>
      <c r="AN279" s="149"/>
      <c r="AO279" s="149"/>
      <c r="AP279" s="149"/>
      <c r="AQ279" s="149"/>
      <c r="AR279" s="149"/>
      <c r="AS279" s="149"/>
      <c r="AT279" s="149"/>
      <c r="AU279" s="149"/>
      <c r="AV279" s="149"/>
      <c r="AW279" s="149"/>
      <c r="AX279" s="149"/>
      <c r="AY279" s="149"/>
      <c r="AZ279" s="149"/>
      <c r="BA279" s="149"/>
      <c r="BB279" s="149"/>
      <c r="BC279" s="149"/>
      <c r="BD279" s="149"/>
      <c r="BE279" s="149"/>
      <c r="BF279" s="149"/>
      <c r="BG279" s="149"/>
      <c r="BH279" s="149"/>
      <c r="BI279" s="149"/>
      <c r="BJ279" s="149"/>
      <c r="BK279" s="149"/>
      <c r="BL279" s="79"/>
      <c r="BM279" s="149"/>
    </row>
    <row r="280" spans="2:65" x14ac:dyDescent="0.25">
      <c r="B280" s="149"/>
      <c r="C280" s="149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  <c r="Y280" s="149"/>
      <c r="Z280" s="149"/>
      <c r="AA280" s="149"/>
      <c r="AB280" s="149"/>
      <c r="AC280" s="149"/>
      <c r="AD280" s="149"/>
      <c r="AE280" s="149"/>
      <c r="AF280" s="149"/>
      <c r="AG280" s="149"/>
      <c r="AH280" s="149"/>
      <c r="AI280" s="149"/>
      <c r="AJ280" s="149"/>
      <c r="AK280" s="149"/>
      <c r="AL280" s="149"/>
      <c r="AM280" s="149"/>
      <c r="AN280" s="149"/>
      <c r="AO280" s="149"/>
      <c r="AP280" s="149"/>
      <c r="AQ280" s="149"/>
      <c r="AR280" s="149"/>
      <c r="AS280" s="149"/>
      <c r="AT280" s="149"/>
      <c r="AU280" s="149"/>
      <c r="AV280" s="149"/>
      <c r="AW280" s="149"/>
      <c r="AX280" s="149"/>
      <c r="AY280" s="149"/>
      <c r="AZ280" s="149"/>
      <c r="BA280" s="149"/>
      <c r="BB280" s="149"/>
      <c r="BC280" s="149"/>
      <c r="BD280" s="149"/>
      <c r="BE280" s="149"/>
      <c r="BF280" s="149"/>
      <c r="BG280" s="149"/>
      <c r="BH280" s="149"/>
      <c r="BI280" s="149"/>
      <c r="BJ280" s="149"/>
      <c r="BK280" s="149"/>
      <c r="BL280" s="79"/>
      <c r="BM280" s="149"/>
    </row>
    <row r="281" spans="2:65" x14ac:dyDescent="0.25">
      <c r="B281" s="149"/>
      <c r="C281" s="149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  <c r="W281" s="149"/>
      <c r="X281" s="149"/>
      <c r="Y281" s="149"/>
      <c r="Z281" s="149"/>
      <c r="AA281" s="149"/>
      <c r="AB281" s="149"/>
      <c r="AC281" s="149"/>
      <c r="AD281" s="149"/>
      <c r="AE281" s="149"/>
      <c r="AF281" s="149"/>
      <c r="AG281" s="149"/>
      <c r="AH281" s="149"/>
      <c r="AI281" s="149"/>
      <c r="AJ281" s="149"/>
      <c r="AK281" s="149"/>
      <c r="AL281" s="149"/>
      <c r="AM281" s="149"/>
      <c r="AN281" s="149"/>
      <c r="AO281" s="149"/>
      <c r="AP281" s="149"/>
      <c r="AQ281" s="149"/>
      <c r="AR281" s="149"/>
      <c r="AS281" s="149"/>
      <c r="AT281" s="149"/>
      <c r="AU281" s="149"/>
      <c r="AV281" s="149"/>
      <c r="AW281" s="149"/>
      <c r="AX281" s="149"/>
      <c r="AY281" s="149"/>
      <c r="AZ281" s="149"/>
      <c r="BA281" s="149"/>
      <c r="BB281" s="149"/>
      <c r="BC281" s="149"/>
      <c r="BD281" s="149"/>
      <c r="BE281" s="149"/>
      <c r="BF281" s="149"/>
      <c r="BG281" s="149"/>
      <c r="BH281" s="149"/>
      <c r="BI281" s="149"/>
      <c r="BJ281" s="149"/>
      <c r="BK281" s="149"/>
      <c r="BL281" s="79"/>
      <c r="BM281" s="149"/>
    </row>
    <row r="282" spans="2:65" x14ac:dyDescent="0.25">
      <c r="B282" s="149"/>
      <c r="C282" s="149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  <c r="Y282" s="149"/>
      <c r="Z282" s="149"/>
      <c r="AA282" s="149"/>
      <c r="AB282" s="149"/>
      <c r="AC282" s="149"/>
      <c r="AD282" s="149"/>
      <c r="AE282" s="149"/>
      <c r="AF282" s="149"/>
      <c r="AG282" s="149"/>
      <c r="AH282" s="149"/>
      <c r="AI282" s="149"/>
      <c r="AJ282" s="149"/>
      <c r="AK282" s="149"/>
      <c r="AL282" s="149"/>
      <c r="AM282" s="149"/>
      <c r="AN282" s="149"/>
      <c r="AO282" s="149"/>
      <c r="AP282" s="149"/>
      <c r="AQ282" s="149"/>
      <c r="AR282" s="149"/>
      <c r="AS282" s="149"/>
      <c r="AT282" s="149"/>
      <c r="AU282" s="149"/>
      <c r="AV282" s="149"/>
      <c r="AW282" s="149"/>
      <c r="AX282" s="149"/>
      <c r="AY282" s="149"/>
      <c r="AZ282" s="149"/>
      <c r="BA282" s="149"/>
      <c r="BB282" s="149"/>
      <c r="BC282" s="149"/>
      <c r="BD282" s="149"/>
      <c r="BE282" s="149"/>
      <c r="BF282" s="149"/>
      <c r="BG282" s="149"/>
      <c r="BH282" s="149"/>
      <c r="BI282" s="149"/>
      <c r="BJ282" s="149"/>
      <c r="BK282" s="149"/>
      <c r="BL282" s="79"/>
      <c r="BM282" s="149"/>
    </row>
    <row r="283" spans="2:65" x14ac:dyDescent="0.25">
      <c r="B283" s="149"/>
      <c r="C283" s="149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  <c r="Y283" s="149"/>
      <c r="Z283" s="149"/>
      <c r="AA283" s="149"/>
      <c r="AB283" s="149"/>
      <c r="AC283" s="149"/>
      <c r="AD283" s="149"/>
      <c r="AE283" s="149"/>
      <c r="AF283" s="149"/>
      <c r="AG283" s="149"/>
      <c r="AH283" s="149"/>
      <c r="AI283" s="149"/>
      <c r="AJ283" s="149"/>
      <c r="AK283" s="149"/>
      <c r="AL283" s="149"/>
      <c r="AM283" s="149"/>
      <c r="AN283" s="149"/>
      <c r="AO283" s="149"/>
      <c r="AP283" s="149"/>
      <c r="AQ283" s="149"/>
      <c r="AR283" s="149"/>
      <c r="AS283" s="149"/>
      <c r="AT283" s="149"/>
      <c r="AU283" s="149"/>
      <c r="AV283" s="149"/>
      <c r="AW283" s="149"/>
      <c r="AX283" s="149"/>
      <c r="AY283" s="149"/>
      <c r="AZ283" s="149"/>
      <c r="BA283" s="149"/>
      <c r="BB283" s="149"/>
      <c r="BC283" s="149"/>
      <c r="BD283" s="149"/>
      <c r="BE283" s="149"/>
      <c r="BF283" s="149"/>
      <c r="BG283" s="149"/>
      <c r="BH283" s="149"/>
      <c r="BI283" s="149"/>
      <c r="BJ283" s="149"/>
      <c r="BK283" s="149"/>
      <c r="BL283" s="79"/>
      <c r="BM283" s="149"/>
    </row>
    <row r="284" spans="2:65" x14ac:dyDescent="0.25">
      <c r="B284" s="149"/>
      <c r="C284" s="149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49"/>
      <c r="Y284" s="149"/>
      <c r="Z284" s="149"/>
      <c r="AA284" s="149"/>
      <c r="AB284" s="149"/>
      <c r="AC284" s="149"/>
      <c r="AD284" s="149"/>
      <c r="AE284" s="149"/>
      <c r="AF284" s="149"/>
      <c r="AG284" s="149"/>
      <c r="AH284" s="149"/>
      <c r="AI284" s="149"/>
      <c r="AJ284" s="149"/>
      <c r="AK284" s="149"/>
      <c r="AL284" s="149"/>
      <c r="AM284" s="149"/>
      <c r="AN284" s="149"/>
      <c r="AO284" s="149"/>
      <c r="AP284" s="149"/>
      <c r="AQ284" s="149"/>
      <c r="AR284" s="149"/>
      <c r="AS284" s="149"/>
      <c r="AT284" s="149"/>
      <c r="AU284" s="149"/>
      <c r="AV284" s="149"/>
      <c r="AW284" s="149"/>
      <c r="AX284" s="149"/>
      <c r="AY284" s="149"/>
      <c r="AZ284" s="149"/>
      <c r="BA284" s="149"/>
      <c r="BB284" s="149"/>
      <c r="BC284" s="149"/>
      <c r="BD284" s="149"/>
      <c r="BE284" s="149"/>
      <c r="BF284" s="149"/>
      <c r="BG284" s="149"/>
      <c r="BH284" s="149"/>
      <c r="BI284" s="149"/>
      <c r="BJ284" s="149"/>
      <c r="BK284" s="149"/>
      <c r="BL284" s="79"/>
      <c r="BM284" s="149"/>
    </row>
    <row r="285" spans="2:65" x14ac:dyDescent="0.25">
      <c r="B285" s="149"/>
      <c r="C285" s="149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  <c r="Y285" s="149"/>
      <c r="Z285" s="149"/>
      <c r="AA285" s="149"/>
      <c r="AB285" s="149"/>
      <c r="AC285" s="149"/>
      <c r="AD285" s="149"/>
      <c r="AE285" s="149"/>
      <c r="AF285" s="149"/>
      <c r="AG285" s="149"/>
      <c r="AH285" s="149"/>
      <c r="AI285" s="149"/>
      <c r="AJ285" s="149"/>
      <c r="AK285" s="149"/>
      <c r="AL285" s="149"/>
      <c r="AM285" s="149"/>
      <c r="AN285" s="149"/>
      <c r="AO285" s="149"/>
      <c r="AP285" s="149"/>
      <c r="AQ285" s="149"/>
      <c r="AR285" s="149"/>
      <c r="AS285" s="149"/>
      <c r="AT285" s="149"/>
      <c r="AU285" s="149"/>
      <c r="AV285" s="149"/>
      <c r="AW285" s="149"/>
      <c r="AX285" s="149"/>
      <c r="AY285" s="149"/>
      <c r="AZ285" s="149"/>
      <c r="BA285" s="149"/>
      <c r="BB285" s="149"/>
      <c r="BC285" s="149"/>
      <c r="BD285" s="149"/>
      <c r="BE285" s="149"/>
      <c r="BF285" s="149"/>
      <c r="BG285" s="149"/>
      <c r="BH285" s="149"/>
      <c r="BI285" s="149"/>
      <c r="BJ285" s="149"/>
      <c r="BK285" s="149"/>
      <c r="BL285" s="79"/>
      <c r="BM285" s="149"/>
    </row>
    <row r="286" spans="2:65" x14ac:dyDescent="0.25">
      <c r="B286" s="149"/>
      <c r="C286" s="149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  <c r="W286" s="149"/>
      <c r="X286" s="149"/>
      <c r="Y286" s="149"/>
      <c r="Z286" s="149"/>
      <c r="AA286" s="149"/>
      <c r="AB286" s="149"/>
      <c r="AC286" s="149"/>
      <c r="AD286" s="149"/>
      <c r="AE286" s="149"/>
      <c r="AF286" s="149"/>
      <c r="AG286" s="149"/>
      <c r="AH286" s="149"/>
      <c r="AI286" s="149"/>
      <c r="AJ286" s="149"/>
      <c r="AK286" s="149"/>
      <c r="AL286" s="149"/>
      <c r="AM286" s="149"/>
      <c r="AN286" s="149"/>
      <c r="AO286" s="149"/>
      <c r="AP286" s="149"/>
      <c r="AQ286" s="149"/>
      <c r="AR286" s="149"/>
      <c r="AS286" s="149"/>
      <c r="AT286" s="149"/>
      <c r="AU286" s="149"/>
      <c r="AV286" s="149"/>
      <c r="AW286" s="149"/>
      <c r="AX286" s="149"/>
      <c r="AY286" s="149"/>
      <c r="AZ286" s="149"/>
      <c r="BA286" s="149"/>
      <c r="BB286" s="149"/>
      <c r="BC286" s="149"/>
      <c r="BD286" s="149"/>
      <c r="BE286" s="149"/>
      <c r="BF286" s="149"/>
      <c r="BG286" s="149"/>
      <c r="BH286" s="149"/>
      <c r="BI286" s="149"/>
      <c r="BJ286" s="149"/>
      <c r="BK286" s="149"/>
      <c r="BL286" s="79"/>
      <c r="BM286" s="149"/>
    </row>
    <row r="287" spans="2:65" x14ac:dyDescent="0.25">
      <c r="B287" s="149"/>
      <c r="C287" s="149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  <c r="R287" s="149"/>
      <c r="S287" s="149"/>
      <c r="T287" s="149"/>
      <c r="U287" s="149"/>
      <c r="V287" s="149"/>
      <c r="W287" s="149"/>
      <c r="X287" s="149"/>
      <c r="Y287" s="149"/>
      <c r="Z287" s="149"/>
      <c r="AA287" s="149"/>
      <c r="AB287" s="149"/>
      <c r="AC287" s="149"/>
      <c r="AD287" s="149"/>
      <c r="AE287" s="149"/>
      <c r="AF287" s="149"/>
      <c r="AG287" s="149"/>
      <c r="AH287" s="149"/>
      <c r="AI287" s="149"/>
      <c r="AJ287" s="149"/>
      <c r="AK287" s="149"/>
      <c r="AL287" s="149"/>
      <c r="AM287" s="149"/>
      <c r="AN287" s="149"/>
      <c r="AO287" s="149"/>
      <c r="AP287" s="149"/>
      <c r="AQ287" s="149"/>
      <c r="AR287" s="149"/>
      <c r="AS287" s="149"/>
      <c r="AT287" s="149"/>
      <c r="AU287" s="149"/>
      <c r="AV287" s="149"/>
      <c r="AW287" s="149"/>
      <c r="AX287" s="149"/>
      <c r="AY287" s="149"/>
      <c r="AZ287" s="149"/>
      <c r="BA287" s="149"/>
      <c r="BB287" s="149"/>
      <c r="BC287" s="149"/>
      <c r="BD287" s="149"/>
      <c r="BE287" s="149"/>
      <c r="BF287" s="149"/>
      <c r="BG287" s="149"/>
      <c r="BH287" s="149"/>
      <c r="BI287" s="149"/>
      <c r="BJ287" s="149"/>
      <c r="BK287" s="149"/>
      <c r="BL287" s="79"/>
      <c r="BM287" s="149"/>
    </row>
    <row r="288" spans="2:65" x14ac:dyDescent="0.25">
      <c r="B288" s="149"/>
      <c r="C288" s="149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  <c r="W288" s="149"/>
      <c r="X288" s="149"/>
      <c r="Y288" s="149"/>
      <c r="Z288" s="149"/>
      <c r="AA288" s="149"/>
      <c r="AB288" s="149"/>
      <c r="AC288" s="149"/>
      <c r="AD288" s="149"/>
      <c r="AE288" s="149"/>
      <c r="AF288" s="149"/>
      <c r="AG288" s="149"/>
      <c r="AH288" s="149"/>
      <c r="AI288" s="149"/>
      <c r="AJ288" s="149"/>
      <c r="AK288" s="149"/>
      <c r="AL288" s="149"/>
      <c r="AM288" s="149"/>
      <c r="AN288" s="149"/>
      <c r="AO288" s="149"/>
      <c r="AP288" s="149"/>
      <c r="AQ288" s="149"/>
      <c r="AR288" s="149"/>
      <c r="AS288" s="149"/>
      <c r="AT288" s="149"/>
      <c r="AU288" s="149"/>
      <c r="AV288" s="149"/>
      <c r="AW288" s="149"/>
      <c r="AX288" s="149"/>
      <c r="AY288" s="149"/>
      <c r="AZ288" s="149"/>
      <c r="BA288" s="149"/>
      <c r="BB288" s="149"/>
      <c r="BC288" s="149"/>
      <c r="BD288" s="149"/>
      <c r="BE288" s="149"/>
      <c r="BF288" s="149"/>
      <c r="BG288" s="149"/>
      <c r="BH288" s="149"/>
      <c r="BI288" s="149"/>
      <c r="BJ288" s="149"/>
      <c r="BK288" s="149"/>
      <c r="BL288" s="79"/>
      <c r="BM288" s="149"/>
    </row>
    <row r="289" spans="2:65" x14ac:dyDescent="0.25">
      <c r="B289" s="149"/>
      <c r="C289" s="149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  <c r="Y289" s="149"/>
      <c r="Z289" s="149"/>
      <c r="AA289" s="149"/>
      <c r="AB289" s="149"/>
      <c r="AC289" s="149"/>
      <c r="AD289" s="149"/>
      <c r="AE289" s="149"/>
      <c r="AF289" s="149"/>
      <c r="AG289" s="149"/>
      <c r="AH289" s="149"/>
      <c r="AI289" s="149"/>
      <c r="AJ289" s="149"/>
      <c r="AK289" s="149"/>
      <c r="AL289" s="149"/>
      <c r="AM289" s="149"/>
      <c r="AN289" s="149"/>
      <c r="AO289" s="149"/>
      <c r="AP289" s="149"/>
      <c r="AQ289" s="149"/>
      <c r="AR289" s="149"/>
      <c r="AS289" s="149"/>
      <c r="AT289" s="149"/>
      <c r="AU289" s="149"/>
      <c r="AV289" s="149"/>
      <c r="AW289" s="149"/>
      <c r="AX289" s="149"/>
      <c r="AY289" s="149"/>
      <c r="AZ289" s="149"/>
      <c r="BA289" s="149"/>
      <c r="BB289" s="149"/>
      <c r="BC289" s="149"/>
      <c r="BD289" s="149"/>
      <c r="BE289" s="149"/>
      <c r="BF289" s="149"/>
      <c r="BG289" s="149"/>
      <c r="BH289" s="149"/>
      <c r="BI289" s="149"/>
      <c r="BJ289" s="149"/>
      <c r="BK289" s="149"/>
      <c r="BL289" s="79"/>
      <c r="BM289" s="149"/>
    </row>
    <row r="290" spans="2:65" x14ac:dyDescent="0.25">
      <c r="B290" s="149"/>
      <c r="C290" s="149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  <c r="R290" s="149"/>
      <c r="S290" s="149"/>
      <c r="T290" s="149"/>
      <c r="U290" s="149"/>
      <c r="V290" s="149"/>
      <c r="W290" s="149"/>
      <c r="X290" s="149"/>
      <c r="Y290" s="149"/>
      <c r="Z290" s="149"/>
      <c r="AA290" s="149"/>
      <c r="AB290" s="149"/>
      <c r="AC290" s="149"/>
      <c r="AD290" s="149"/>
      <c r="AE290" s="149"/>
      <c r="AF290" s="149"/>
      <c r="AG290" s="149"/>
      <c r="AH290" s="149"/>
      <c r="AI290" s="149"/>
      <c r="AJ290" s="149"/>
      <c r="AK290" s="149"/>
      <c r="AL290" s="149"/>
      <c r="AM290" s="149"/>
      <c r="AN290" s="149"/>
      <c r="AO290" s="149"/>
      <c r="AP290" s="149"/>
      <c r="AQ290" s="149"/>
      <c r="AR290" s="149"/>
      <c r="AS290" s="149"/>
      <c r="AT290" s="149"/>
      <c r="AU290" s="149"/>
      <c r="AV290" s="149"/>
      <c r="AW290" s="149"/>
      <c r="AX290" s="149"/>
      <c r="AY290" s="149"/>
      <c r="AZ290" s="149"/>
      <c r="BA290" s="149"/>
      <c r="BB290" s="149"/>
      <c r="BC290" s="149"/>
      <c r="BD290" s="149"/>
      <c r="BE290" s="149"/>
      <c r="BF290" s="149"/>
      <c r="BG290" s="149"/>
      <c r="BH290" s="149"/>
      <c r="BI290" s="149"/>
      <c r="BJ290" s="149"/>
      <c r="BK290" s="149"/>
      <c r="BL290" s="79"/>
      <c r="BM290" s="149"/>
    </row>
    <row r="291" spans="2:65" x14ac:dyDescent="0.25">
      <c r="B291" s="149"/>
      <c r="C291" s="149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  <c r="R291" s="149"/>
      <c r="S291" s="149"/>
      <c r="T291" s="149"/>
      <c r="U291" s="149"/>
      <c r="V291" s="149"/>
      <c r="W291" s="149"/>
      <c r="X291" s="149"/>
      <c r="Y291" s="149"/>
      <c r="Z291" s="149"/>
      <c r="AA291" s="149"/>
      <c r="AB291" s="149"/>
      <c r="AC291" s="149"/>
      <c r="AD291" s="149"/>
      <c r="AE291" s="149"/>
      <c r="AF291" s="149"/>
      <c r="AG291" s="149"/>
      <c r="AH291" s="149"/>
      <c r="AI291" s="149"/>
      <c r="AJ291" s="149"/>
      <c r="AK291" s="149"/>
      <c r="AL291" s="149"/>
      <c r="AM291" s="149"/>
      <c r="AN291" s="149"/>
      <c r="AO291" s="149"/>
      <c r="AP291" s="149"/>
      <c r="AQ291" s="149"/>
      <c r="AR291" s="149"/>
      <c r="AS291" s="149"/>
      <c r="AT291" s="149"/>
      <c r="AU291" s="149"/>
      <c r="AV291" s="149"/>
      <c r="AW291" s="149"/>
      <c r="AX291" s="149"/>
      <c r="AY291" s="149"/>
      <c r="AZ291" s="149"/>
      <c r="BA291" s="149"/>
      <c r="BB291" s="149"/>
      <c r="BC291" s="149"/>
      <c r="BD291" s="149"/>
      <c r="BE291" s="149"/>
      <c r="BF291" s="149"/>
      <c r="BG291" s="149"/>
      <c r="BH291" s="149"/>
      <c r="BI291" s="149"/>
      <c r="BJ291" s="149"/>
      <c r="BK291" s="149"/>
      <c r="BL291" s="79"/>
      <c r="BM291" s="149"/>
    </row>
    <row r="292" spans="2:65" x14ac:dyDescent="0.25">
      <c r="B292" s="149"/>
      <c r="C292" s="149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  <c r="Y292" s="149"/>
      <c r="Z292" s="149"/>
      <c r="AA292" s="149"/>
      <c r="AB292" s="149"/>
      <c r="AC292" s="149"/>
      <c r="AD292" s="149"/>
      <c r="AE292" s="149"/>
      <c r="AF292" s="149"/>
      <c r="AG292" s="149"/>
      <c r="AH292" s="149"/>
      <c r="AI292" s="149"/>
      <c r="AJ292" s="149"/>
      <c r="AK292" s="149"/>
      <c r="AL292" s="149"/>
      <c r="AM292" s="149"/>
      <c r="AN292" s="149"/>
      <c r="AO292" s="149"/>
      <c r="AP292" s="149"/>
      <c r="AQ292" s="149"/>
      <c r="AR292" s="149"/>
      <c r="AS292" s="149"/>
      <c r="AT292" s="149"/>
      <c r="AU292" s="149"/>
      <c r="AV292" s="149"/>
      <c r="AW292" s="149"/>
      <c r="AX292" s="149"/>
      <c r="AY292" s="149"/>
      <c r="AZ292" s="149"/>
      <c r="BA292" s="149"/>
      <c r="BB292" s="149"/>
      <c r="BC292" s="149"/>
      <c r="BD292" s="149"/>
      <c r="BE292" s="149"/>
      <c r="BF292" s="149"/>
      <c r="BG292" s="149"/>
      <c r="BH292" s="149"/>
      <c r="BI292" s="149"/>
      <c r="BJ292" s="149"/>
      <c r="BK292" s="149"/>
      <c r="BL292" s="79"/>
      <c r="BM292" s="149"/>
    </row>
    <row r="293" spans="2:65" x14ac:dyDescent="0.25">
      <c r="B293" s="149"/>
      <c r="C293" s="149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  <c r="Y293" s="149"/>
      <c r="Z293" s="149"/>
      <c r="AA293" s="149"/>
      <c r="AB293" s="149"/>
      <c r="AC293" s="149"/>
      <c r="AD293" s="149"/>
      <c r="AE293" s="149"/>
      <c r="AF293" s="149"/>
      <c r="AG293" s="149"/>
      <c r="AH293" s="149"/>
      <c r="AI293" s="149"/>
      <c r="AJ293" s="149"/>
      <c r="AK293" s="149"/>
      <c r="AL293" s="149"/>
      <c r="AM293" s="149"/>
      <c r="AN293" s="149"/>
      <c r="AO293" s="149"/>
      <c r="AP293" s="149"/>
      <c r="AQ293" s="149"/>
      <c r="AR293" s="149"/>
      <c r="AS293" s="149"/>
      <c r="AT293" s="149"/>
      <c r="AU293" s="149"/>
      <c r="AV293" s="149"/>
      <c r="AW293" s="149"/>
      <c r="AX293" s="149"/>
      <c r="AY293" s="149"/>
      <c r="AZ293" s="149"/>
      <c r="BA293" s="149"/>
      <c r="BB293" s="149"/>
      <c r="BC293" s="149"/>
      <c r="BD293" s="149"/>
      <c r="BE293" s="149"/>
      <c r="BF293" s="149"/>
      <c r="BG293" s="149"/>
      <c r="BH293" s="149"/>
      <c r="BI293" s="149"/>
      <c r="BJ293" s="149"/>
      <c r="BK293" s="149"/>
      <c r="BL293" s="79"/>
      <c r="BM293" s="149"/>
    </row>
    <row r="294" spans="2:65" x14ac:dyDescent="0.25">
      <c r="B294" s="149"/>
      <c r="C294" s="149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  <c r="Y294" s="149"/>
      <c r="Z294" s="149"/>
      <c r="AA294" s="149"/>
      <c r="AB294" s="149"/>
      <c r="AC294" s="149"/>
      <c r="AD294" s="149"/>
      <c r="AE294" s="149"/>
      <c r="AF294" s="149"/>
      <c r="AG294" s="149"/>
      <c r="AH294" s="149"/>
      <c r="AI294" s="149"/>
      <c r="AJ294" s="149"/>
      <c r="AK294" s="149"/>
      <c r="AL294" s="149"/>
      <c r="AM294" s="149"/>
      <c r="AN294" s="149"/>
      <c r="AO294" s="149"/>
      <c r="AP294" s="149"/>
      <c r="AQ294" s="149"/>
      <c r="AR294" s="149"/>
      <c r="AS294" s="149"/>
      <c r="AT294" s="149"/>
      <c r="AU294" s="149"/>
      <c r="AV294" s="149"/>
      <c r="AW294" s="149"/>
      <c r="AX294" s="149"/>
      <c r="AY294" s="149"/>
      <c r="AZ294" s="149"/>
      <c r="BA294" s="149"/>
      <c r="BB294" s="149"/>
      <c r="BC294" s="149"/>
      <c r="BD294" s="149"/>
      <c r="BE294" s="149"/>
      <c r="BF294" s="149"/>
      <c r="BG294" s="149"/>
      <c r="BH294" s="149"/>
      <c r="BI294" s="149"/>
      <c r="BJ294" s="149"/>
      <c r="BK294" s="149"/>
      <c r="BL294" s="79"/>
      <c r="BM294" s="149"/>
    </row>
    <row r="295" spans="2:65" x14ac:dyDescent="0.25">
      <c r="B295" s="149"/>
      <c r="C295" s="149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  <c r="Y295" s="149"/>
      <c r="Z295" s="149"/>
      <c r="AA295" s="149"/>
      <c r="AB295" s="149"/>
      <c r="AC295" s="149"/>
      <c r="AD295" s="149"/>
      <c r="AE295" s="149"/>
      <c r="AF295" s="149"/>
      <c r="AG295" s="149"/>
      <c r="AH295" s="149"/>
      <c r="AI295" s="149"/>
      <c r="AJ295" s="149"/>
      <c r="AK295" s="149"/>
      <c r="AL295" s="149"/>
      <c r="AM295" s="149"/>
      <c r="AN295" s="149"/>
      <c r="AO295" s="149"/>
      <c r="AP295" s="149"/>
      <c r="AQ295" s="149"/>
      <c r="AR295" s="149"/>
      <c r="AS295" s="149"/>
      <c r="AT295" s="149"/>
      <c r="AU295" s="149"/>
      <c r="AV295" s="149"/>
      <c r="AW295" s="149"/>
      <c r="AX295" s="149"/>
      <c r="AY295" s="149"/>
      <c r="AZ295" s="149"/>
      <c r="BA295" s="149"/>
      <c r="BB295" s="149"/>
      <c r="BC295" s="149"/>
      <c r="BD295" s="149"/>
      <c r="BE295" s="149"/>
      <c r="BF295" s="149"/>
      <c r="BG295" s="149"/>
      <c r="BH295" s="149"/>
      <c r="BI295" s="149"/>
      <c r="BJ295" s="149"/>
      <c r="BK295" s="149"/>
      <c r="BL295" s="79"/>
      <c r="BM295" s="149"/>
    </row>
    <row r="296" spans="2:65" x14ac:dyDescent="0.25">
      <c r="B296" s="149"/>
      <c r="C296" s="149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  <c r="Z296" s="149"/>
      <c r="AA296" s="149"/>
      <c r="AB296" s="149"/>
      <c r="AC296" s="149"/>
      <c r="AD296" s="149"/>
      <c r="AE296" s="149"/>
      <c r="AF296" s="149"/>
      <c r="AG296" s="149"/>
      <c r="AH296" s="149"/>
      <c r="AI296" s="149"/>
      <c r="AJ296" s="149"/>
      <c r="AK296" s="149"/>
      <c r="AL296" s="149"/>
      <c r="AM296" s="149"/>
      <c r="AN296" s="149"/>
      <c r="AO296" s="149"/>
      <c r="AP296" s="149"/>
      <c r="AQ296" s="149"/>
      <c r="AR296" s="149"/>
      <c r="AS296" s="149"/>
      <c r="AT296" s="149"/>
      <c r="AU296" s="149"/>
      <c r="AV296" s="149"/>
      <c r="AW296" s="149"/>
      <c r="AX296" s="149"/>
      <c r="AY296" s="149"/>
      <c r="AZ296" s="149"/>
      <c r="BA296" s="149"/>
      <c r="BB296" s="149"/>
      <c r="BC296" s="149"/>
      <c r="BD296" s="149"/>
      <c r="BE296" s="149"/>
      <c r="BF296" s="149"/>
      <c r="BG296" s="149"/>
      <c r="BH296" s="149"/>
      <c r="BI296" s="149"/>
      <c r="BJ296" s="149"/>
      <c r="BK296" s="149"/>
      <c r="BL296" s="79"/>
      <c r="BM296" s="149"/>
    </row>
    <row r="297" spans="2:65" x14ac:dyDescent="0.25">
      <c r="B297" s="149"/>
      <c r="C297" s="149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  <c r="Y297" s="149"/>
      <c r="Z297" s="149"/>
      <c r="AA297" s="149"/>
      <c r="AB297" s="149"/>
      <c r="AC297" s="149"/>
      <c r="AD297" s="149"/>
      <c r="AE297" s="149"/>
      <c r="AF297" s="149"/>
      <c r="AG297" s="149"/>
      <c r="AH297" s="149"/>
      <c r="AI297" s="149"/>
      <c r="AJ297" s="149"/>
      <c r="AK297" s="149"/>
      <c r="AL297" s="149"/>
      <c r="AM297" s="149"/>
      <c r="AN297" s="149"/>
      <c r="AO297" s="149"/>
      <c r="AP297" s="149"/>
      <c r="AQ297" s="149"/>
      <c r="AR297" s="149"/>
      <c r="AS297" s="149"/>
      <c r="AT297" s="149"/>
      <c r="AU297" s="149"/>
      <c r="AV297" s="149"/>
      <c r="AW297" s="149"/>
      <c r="AX297" s="149"/>
      <c r="AY297" s="149"/>
      <c r="AZ297" s="149"/>
      <c r="BA297" s="149"/>
      <c r="BB297" s="149"/>
      <c r="BC297" s="149"/>
      <c r="BD297" s="149"/>
      <c r="BE297" s="149"/>
      <c r="BF297" s="149"/>
      <c r="BG297" s="149"/>
      <c r="BH297" s="149"/>
      <c r="BI297" s="149"/>
      <c r="BJ297" s="149"/>
      <c r="BK297" s="149"/>
      <c r="BL297" s="79"/>
      <c r="BM297" s="149"/>
    </row>
    <row r="298" spans="2:65" x14ac:dyDescent="0.25">
      <c r="B298" s="149"/>
      <c r="C298" s="149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  <c r="Y298" s="149"/>
      <c r="Z298" s="149"/>
      <c r="AA298" s="149"/>
      <c r="AB298" s="149"/>
      <c r="AC298" s="149"/>
      <c r="AD298" s="149"/>
      <c r="AE298" s="149"/>
      <c r="AF298" s="149"/>
      <c r="AG298" s="149"/>
      <c r="AH298" s="149"/>
      <c r="AI298" s="149"/>
      <c r="AJ298" s="149"/>
      <c r="AK298" s="149"/>
      <c r="AL298" s="149"/>
      <c r="AM298" s="149"/>
      <c r="AN298" s="149"/>
      <c r="AO298" s="149"/>
      <c r="AP298" s="149"/>
      <c r="AQ298" s="149"/>
      <c r="AR298" s="149"/>
      <c r="AS298" s="149"/>
      <c r="AT298" s="149"/>
      <c r="AU298" s="149"/>
      <c r="AV298" s="149"/>
      <c r="AW298" s="149"/>
      <c r="AX298" s="149"/>
      <c r="AY298" s="149"/>
      <c r="AZ298" s="149"/>
      <c r="BA298" s="149"/>
      <c r="BB298" s="149"/>
      <c r="BC298" s="149"/>
      <c r="BD298" s="149"/>
      <c r="BE298" s="149"/>
      <c r="BF298" s="149"/>
      <c r="BG298" s="149"/>
      <c r="BH298" s="149"/>
      <c r="BI298" s="149"/>
      <c r="BJ298" s="149"/>
      <c r="BK298" s="149"/>
      <c r="BL298" s="79"/>
      <c r="BM298" s="149"/>
    </row>
    <row r="299" spans="2:65" x14ac:dyDescent="0.25">
      <c r="B299" s="149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149"/>
      <c r="S299" s="149"/>
      <c r="T299" s="149"/>
      <c r="U299" s="149"/>
      <c r="V299" s="149"/>
      <c r="W299" s="149"/>
      <c r="X299" s="149"/>
      <c r="Y299" s="149"/>
      <c r="Z299" s="149"/>
      <c r="AA299" s="149"/>
      <c r="AB299" s="149"/>
      <c r="AC299" s="149"/>
      <c r="AD299" s="149"/>
      <c r="AE299" s="149"/>
      <c r="AF299" s="149"/>
      <c r="AG299" s="149"/>
      <c r="AH299" s="149"/>
      <c r="AI299" s="149"/>
      <c r="AJ299" s="149"/>
      <c r="AK299" s="149"/>
      <c r="AL299" s="149"/>
      <c r="AM299" s="149"/>
      <c r="AN299" s="149"/>
      <c r="AO299" s="149"/>
      <c r="AP299" s="149"/>
      <c r="AQ299" s="149"/>
      <c r="AR299" s="149"/>
      <c r="AS299" s="149"/>
      <c r="AT299" s="149"/>
      <c r="AU299" s="149"/>
      <c r="AV299" s="149"/>
      <c r="AW299" s="149"/>
      <c r="AX299" s="149"/>
      <c r="AY299" s="149"/>
      <c r="AZ299" s="149"/>
      <c r="BA299" s="149"/>
      <c r="BB299" s="149"/>
      <c r="BC299" s="149"/>
      <c r="BD299" s="149"/>
      <c r="BE299" s="149"/>
      <c r="BF299" s="149"/>
      <c r="BG299" s="149"/>
      <c r="BH299" s="149"/>
      <c r="BI299" s="149"/>
      <c r="BJ299" s="149"/>
      <c r="BK299" s="149"/>
      <c r="BL299" s="79"/>
      <c r="BM299" s="149"/>
    </row>
    <row r="300" spans="2:65" x14ac:dyDescent="0.25">
      <c r="B300" s="149"/>
      <c r="C300" s="149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  <c r="Y300" s="149"/>
      <c r="Z300" s="149"/>
      <c r="AA300" s="149"/>
      <c r="AB300" s="149"/>
      <c r="AC300" s="149"/>
      <c r="AD300" s="149"/>
      <c r="AE300" s="149"/>
      <c r="AF300" s="149"/>
      <c r="AG300" s="149"/>
      <c r="AH300" s="149"/>
      <c r="AI300" s="149"/>
      <c r="AJ300" s="149"/>
      <c r="AK300" s="149"/>
      <c r="AL300" s="149"/>
      <c r="AM300" s="149"/>
      <c r="AN300" s="149"/>
      <c r="AO300" s="149"/>
      <c r="AP300" s="149"/>
      <c r="AQ300" s="149"/>
      <c r="AR300" s="149"/>
      <c r="AS300" s="149"/>
      <c r="AT300" s="149"/>
      <c r="AU300" s="149"/>
      <c r="AV300" s="149"/>
      <c r="AW300" s="149"/>
      <c r="AX300" s="149"/>
      <c r="AY300" s="149"/>
      <c r="AZ300" s="149"/>
      <c r="BA300" s="149"/>
      <c r="BB300" s="149"/>
      <c r="BC300" s="149"/>
      <c r="BD300" s="149"/>
      <c r="BE300" s="149"/>
      <c r="BF300" s="149"/>
      <c r="BG300" s="149"/>
      <c r="BH300" s="149"/>
      <c r="BI300" s="149"/>
      <c r="BJ300" s="149"/>
      <c r="BK300" s="149"/>
      <c r="BL300" s="79"/>
      <c r="BM300" s="149"/>
    </row>
    <row r="301" spans="2:65" x14ac:dyDescent="0.25">
      <c r="B301" s="149"/>
      <c r="C301" s="149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  <c r="Y301" s="149"/>
      <c r="Z301" s="149"/>
      <c r="AA301" s="149"/>
      <c r="AB301" s="149"/>
      <c r="AC301" s="149"/>
      <c r="AD301" s="149"/>
      <c r="AE301" s="149"/>
      <c r="AF301" s="149"/>
      <c r="AG301" s="149"/>
      <c r="AH301" s="149"/>
      <c r="AI301" s="149"/>
      <c r="AJ301" s="149"/>
      <c r="AK301" s="149"/>
      <c r="AL301" s="149"/>
      <c r="AM301" s="149"/>
      <c r="AN301" s="149"/>
      <c r="AO301" s="149"/>
      <c r="AP301" s="149"/>
      <c r="AQ301" s="149"/>
      <c r="AR301" s="149"/>
      <c r="AS301" s="149"/>
      <c r="AT301" s="149"/>
      <c r="AU301" s="149"/>
      <c r="AV301" s="149"/>
      <c r="AW301" s="149"/>
      <c r="AX301" s="149"/>
      <c r="AY301" s="149"/>
      <c r="AZ301" s="149"/>
      <c r="BA301" s="149"/>
      <c r="BB301" s="149"/>
      <c r="BC301" s="149"/>
      <c r="BD301" s="149"/>
      <c r="BE301" s="149"/>
      <c r="BF301" s="149"/>
      <c r="BG301" s="149"/>
      <c r="BH301" s="149"/>
      <c r="BI301" s="149"/>
      <c r="BJ301" s="149"/>
      <c r="BK301" s="149"/>
      <c r="BL301" s="79"/>
      <c r="BM301" s="149"/>
    </row>
    <row r="302" spans="2:65" x14ac:dyDescent="0.25">
      <c r="B302" s="149"/>
      <c r="C302" s="149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  <c r="Y302" s="149"/>
      <c r="Z302" s="149"/>
      <c r="AA302" s="149"/>
      <c r="AB302" s="149"/>
      <c r="AC302" s="149"/>
      <c r="AD302" s="149"/>
      <c r="AE302" s="149"/>
      <c r="AF302" s="149"/>
      <c r="AG302" s="149"/>
      <c r="AH302" s="149"/>
      <c r="AI302" s="149"/>
      <c r="AJ302" s="149"/>
      <c r="AK302" s="149"/>
      <c r="AL302" s="149"/>
      <c r="AM302" s="149"/>
      <c r="AN302" s="149"/>
      <c r="AO302" s="149"/>
      <c r="AP302" s="149"/>
      <c r="AQ302" s="149"/>
      <c r="AR302" s="149"/>
      <c r="AS302" s="149"/>
      <c r="AT302" s="149"/>
      <c r="AU302" s="149"/>
      <c r="AV302" s="149"/>
      <c r="AW302" s="149"/>
      <c r="AX302" s="149"/>
      <c r="AY302" s="149"/>
      <c r="AZ302" s="149"/>
      <c r="BA302" s="149"/>
      <c r="BB302" s="149"/>
      <c r="BC302" s="149"/>
      <c r="BD302" s="149"/>
      <c r="BE302" s="149"/>
      <c r="BF302" s="149"/>
      <c r="BG302" s="149"/>
      <c r="BH302" s="149"/>
      <c r="BI302" s="149"/>
      <c r="BJ302" s="149"/>
      <c r="BK302" s="149"/>
      <c r="BL302" s="79"/>
      <c r="BM302" s="149"/>
    </row>
    <row r="303" spans="2:65" x14ac:dyDescent="0.25">
      <c r="B303" s="149"/>
      <c r="C303" s="149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  <c r="W303" s="149"/>
      <c r="X303" s="149"/>
      <c r="Y303" s="149"/>
      <c r="Z303" s="149"/>
      <c r="AA303" s="149"/>
      <c r="AB303" s="149"/>
      <c r="AC303" s="149"/>
      <c r="AD303" s="149"/>
      <c r="AE303" s="149"/>
      <c r="AF303" s="149"/>
      <c r="AG303" s="149"/>
      <c r="AH303" s="149"/>
      <c r="AI303" s="149"/>
      <c r="AJ303" s="149"/>
      <c r="AK303" s="149"/>
      <c r="AL303" s="149"/>
      <c r="AM303" s="149"/>
      <c r="AN303" s="149"/>
      <c r="AO303" s="149"/>
      <c r="AP303" s="149"/>
      <c r="AQ303" s="149"/>
      <c r="AR303" s="149"/>
      <c r="AS303" s="149"/>
      <c r="AT303" s="149"/>
      <c r="AU303" s="149"/>
      <c r="AV303" s="149"/>
      <c r="AW303" s="149"/>
      <c r="AX303" s="149"/>
      <c r="AY303" s="149"/>
      <c r="AZ303" s="149"/>
      <c r="BA303" s="149"/>
      <c r="BB303" s="149"/>
      <c r="BC303" s="149"/>
      <c r="BD303" s="149"/>
      <c r="BE303" s="149"/>
      <c r="BF303" s="149"/>
      <c r="BG303" s="149"/>
      <c r="BH303" s="149"/>
      <c r="BI303" s="149"/>
      <c r="BJ303" s="149"/>
      <c r="BK303" s="149"/>
      <c r="BL303" s="79"/>
      <c r="BM303" s="149"/>
    </row>
    <row r="304" spans="2:65" x14ac:dyDescent="0.25">
      <c r="B304" s="149"/>
      <c r="C304" s="149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  <c r="W304" s="149"/>
      <c r="X304" s="149"/>
      <c r="Y304" s="149"/>
      <c r="Z304" s="149"/>
      <c r="AA304" s="149"/>
      <c r="AB304" s="149"/>
      <c r="AC304" s="149"/>
      <c r="AD304" s="149"/>
      <c r="AE304" s="149"/>
      <c r="AF304" s="149"/>
      <c r="AG304" s="149"/>
      <c r="AH304" s="149"/>
      <c r="AI304" s="149"/>
      <c r="AJ304" s="149"/>
      <c r="AK304" s="149"/>
      <c r="AL304" s="149"/>
      <c r="AM304" s="149"/>
      <c r="AN304" s="149"/>
      <c r="AO304" s="149"/>
      <c r="AP304" s="149"/>
      <c r="AQ304" s="149"/>
      <c r="AR304" s="149"/>
      <c r="AS304" s="149"/>
      <c r="AT304" s="149"/>
      <c r="AU304" s="149"/>
      <c r="AV304" s="149"/>
      <c r="AW304" s="149"/>
      <c r="AX304" s="149"/>
      <c r="AY304" s="149"/>
      <c r="AZ304" s="149"/>
      <c r="BA304" s="149"/>
      <c r="BB304" s="149"/>
      <c r="BC304" s="149"/>
      <c r="BD304" s="149"/>
      <c r="BE304" s="149"/>
      <c r="BF304" s="149"/>
      <c r="BG304" s="149"/>
      <c r="BH304" s="149"/>
      <c r="BI304" s="149"/>
      <c r="BJ304" s="149"/>
      <c r="BK304" s="149"/>
      <c r="BL304" s="79"/>
      <c r="BM304" s="149"/>
    </row>
    <row r="305" spans="2:65" x14ac:dyDescent="0.25">
      <c r="B305" s="149"/>
      <c r="C305" s="149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  <c r="R305" s="149"/>
      <c r="S305" s="149"/>
      <c r="T305" s="149"/>
      <c r="U305" s="149"/>
      <c r="V305" s="149"/>
      <c r="W305" s="149"/>
      <c r="X305" s="149"/>
      <c r="Y305" s="149"/>
      <c r="Z305" s="149"/>
      <c r="AA305" s="149"/>
      <c r="AB305" s="149"/>
      <c r="AC305" s="149"/>
      <c r="AD305" s="149"/>
      <c r="AE305" s="149"/>
      <c r="AF305" s="149"/>
      <c r="AG305" s="149"/>
      <c r="AH305" s="149"/>
      <c r="AI305" s="149"/>
      <c r="AJ305" s="149"/>
      <c r="AK305" s="149"/>
      <c r="AL305" s="149"/>
      <c r="AM305" s="149"/>
      <c r="AN305" s="149"/>
      <c r="AO305" s="149"/>
      <c r="AP305" s="149"/>
      <c r="AQ305" s="149"/>
      <c r="AR305" s="149"/>
      <c r="AS305" s="149"/>
      <c r="AT305" s="149"/>
      <c r="AU305" s="149"/>
      <c r="AV305" s="149"/>
      <c r="AW305" s="149"/>
      <c r="AX305" s="149"/>
      <c r="AY305" s="149"/>
      <c r="AZ305" s="149"/>
      <c r="BA305" s="149"/>
      <c r="BB305" s="149"/>
      <c r="BC305" s="149"/>
      <c r="BD305" s="149"/>
      <c r="BE305" s="149"/>
      <c r="BF305" s="149"/>
      <c r="BG305" s="149"/>
      <c r="BH305" s="149"/>
      <c r="BI305" s="149"/>
      <c r="BJ305" s="149"/>
      <c r="BK305" s="149"/>
      <c r="BL305" s="79"/>
      <c r="BM305" s="149"/>
    </row>
    <row r="306" spans="2:65" x14ac:dyDescent="0.25">
      <c r="B306" s="149"/>
      <c r="C306" s="149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  <c r="R306" s="149"/>
      <c r="S306" s="149"/>
      <c r="T306" s="149"/>
      <c r="U306" s="149"/>
      <c r="V306" s="149"/>
      <c r="W306" s="149"/>
      <c r="X306" s="149"/>
      <c r="Y306" s="149"/>
      <c r="Z306" s="149"/>
      <c r="AA306" s="149"/>
      <c r="AB306" s="149"/>
      <c r="AC306" s="149"/>
      <c r="AD306" s="149"/>
      <c r="AE306" s="149"/>
      <c r="AF306" s="149"/>
      <c r="AG306" s="149"/>
      <c r="AH306" s="149"/>
      <c r="AI306" s="149"/>
      <c r="AJ306" s="149"/>
      <c r="AK306" s="149"/>
      <c r="AL306" s="149"/>
      <c r="AM306" s="149"/>
      <c r="AN306" s="149"/>
      <c r="AO306" s="149"/>
      <c r="AP306" s="149"/>
      <c r="AQ306" s="149"/>
      <c r="AR306" s="149"/>
      <c r="AS306" s="149"/>
      <c r="AT306" s="149"/>
      <c r="AU306" s="149"/>
      <c r="AV306" s="149"/>
      <c r="AW306" s="149"/>
      <c r="AX306" s="149"/>
      <c r="AY306" s="149"/>
      <c r="AZ306" s="149"/>
      <c r="BA306" s="149"/>
      <c r="BB306" s="149"/>
      <c r="BC306" s="149"/>
      <c r="BD306" s="149"/>
      <c r="BE306" s="149"/>
      <c r="BF306" s="149"/>
      <c r="BG306" s="149"/>
      <c r="BH306" s="149"/>
      <c r="BI306" s="149"/>
      <c r="BJ306" s="149"/>
      <c r="BK306" s="149"/>
      <c r="BL306" s="79"/>
      <c r="BM306" s="149"/>
    </row>
    <row r="307" spans="2:65" x14ac:dyDescent="0.25">
      <c r="B307" s="149"/>
      <c r="C307" s="149"/>
      <c r="D307" s="149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  <c r="R307" s="149"/>
      <c r="S307" s="149"/>
      <c r="T307" s="149"/>
      <c r="U307" s="149"/>
      <c r="V307" s="149"/>
      <c r="W307" s="149"/>
      <c r="X307" s="149"/>
      <c r="Y307" s="149"/>
      <c r="Z307" s="149"/>
      <c r="AA307" s="149"/>
      <c r="AB307" s="149"/>
      <c r="AC307" s="149"/>
      <c r="AD307" s="149"/>
      <c r="AE307" s="149"/>
      <c r="AF307" s="149"/>
      <c r="AG307" s="149"/>
      <c r="AH307" s="149"/>
      <c r="AI307" s="149"/>
      <c r="AJ307" s="149"/>
      <c r="AK307" s="149"/>
      <c r="AL307" s="149"/>
      <c r="AM307" s="149"/>
      <c r="AN307" s="149"/>
      <c r="AO307" s="149"/>
      <c r="AP307" s="149"/>
      <c r="AQ307" s="149"/>
      <c r="AR307" s="149"/>
      <c r="AS307" s="149"/>
      <c r="AT307" s="149"/>
      <c r="AU307" s="149"/>
      <c r="AV307" s="149"/>
      <c r="AW307" s="149"/>
      <c r="AX307" s="149"/>
      <c r="AY307" s="149"/>
      <c r="AZ307" s="149"/>
      <c r="BA307" s="149"/>
      <c r="BB307" s="149"/>
      <c r="BC307" s="149"/>
      <c r="BD307" s="149"/>
      <c r="BE307" s="149"/>
      <c r="BF307" s="149"/>
      <c r="BG307" s="149"/>
      <c r="BH307" s="149"/>
      <c r="BI307" s="149"/>
      <c r="BJ307" s="149"/>
      <c r="BK307" s="149"/>
      <c r="BL307" s="79"/>
      <c r="BM307" s="149"/>
    </row>
    <row r="308" spans="2:65" x14ac:dyDescent="0.25">
      <c r="B308" s="149"/>
      <c r="C308" s="149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  <c r="R308" s="149"/>
      <c r="S308" s="149"/>
      <c r="T308" s="149"/>
      <c r="U308" s="149"/>
      <c r="V308" s="149"/>
      <c r="W308" s="149"/>
      <c r="X308" s="149"/>
      <c r="Y308" s="149"/>
      <c r="Z308" s="149"/>
      <c r="AA308" s="149"/>
      <c r="AB308" s="149"/>
      <c r="AC308" s="149"/>
      <c r="AD308" s="149"/>
      <c r="AE308" s="149"/>
      <c r="AF308" s="149"/>
      <c r="AG308" s="149"/>
      <c r="AH308" s="149"/>
      <c r="AI308" s="149"/>
      <c r="AJ308" s="149"/>
      <c r="AK308" s="149"/>
      <c r="AL308" s="149"/>
      <c r="AM308" s="149"/>
      <c r="AN308" s="149"/>
      <c r="AO308" s="149"/>
      <c r="AP308" s="149"/>
      <c r="AQ308" s="149"/>
      <c r="AR308" s="149"/>
      <c r="AS308" s="149"/>
      <c r="AT308" s="149"/>
      <c r="AU308" s="149"/>
      <c r="AV308" s="149"/>
      <c r="AW308" s="149"/>
      <c r="AX308" s="149"/>
      <c r="AY308" s="149"/>
      <c r="AZ308" s="149"/>
      <c r="BA308" s="149"/>
      <c r="BB308" s="149"/>
      <c r="BC308" s="149"/>
      <c r="BD308" s="149"/>
      <c r="BE308" s="149"/>
      <c r="BF308" s="149"/>
      <c r="BG308" s="149"/>
      <c r="BH308" s="149"/>
      <c r="BI308" s="149"/>
      <c r="BJ308" s="149"/>
      <c r="BK308" s="149"/>
      <c r="BL308" s="79"/>
      <c r="BM308" s="149"/>
    </row>
    <row r="309" spans="2:65" x14ac:dyDescent="0.25">
      <c r="B309" s="149"/>
      <c r="C309" s="149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  <c r="Y309" s="149"/>
      <c r="Z309" s="149"/>
      <c r="AA309" s="149"/>
      <c r="AB309" s="149"/>
      <c r="AC309" s="149"/>
      <c r="AD309" s="149"/>
      <c r="AE309" s="149"/>
      <c r="AF309" s="149"/>
      <c r="AG309" s="149"/>
      <c r="AH309" s="149"/>
      <c r="AI309" s="149"/>
      <c r="AJ309" s="149"/>
      <c r="AK309" s="149"/>
      <c r="AL309" s="149"/>
      <c r="AM309" s="149"/>
      <c r="AN309" s="149"/>
      <c r="AO309" s="149"/>
      <c r="AP309" s="149"/>
      <c r="AQ309" s="149"/>
      <c r="AR309" s="149"/>
      <c r="AS309" s="149"/>
      <c r="AT309" s="149"/>
      <c r="AU309" s="149"/>
      <c r="AV309" s="149"/>
      <c r="AW309" s="149"/>
      <c r="AX309" s="149"/>
      <c r="AY309" s="149"/>
      <c r="AZ309" s="149"/>
      <c r="BA309" s="149"/>
      <c r="BB309" s="149"/>
      <c r="BC309" s="149"/>
      <c r="BD309" s="149"/>
      <c r="BE309" s="149"/>
      <c r="BF309" s="149"/>
      <c r="BG309" s="149"/>
      <c r="BH309" s="149"/>
      <c r="BI309" s="149"/>
      <c r="BJ309" s="149"/>
      <c r="BK309" s="149"/>
      <c r="BL309" s="79"/>
      <c r="BM309" s="149"/>
    </row>
    <row r="310" spans="2:65" x14ac:dyDescent="0.25">
      <c r="B310" s="149"/>
      <c r="C310" s="149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  <c r="Y310" s="149"/>
      <c r="Z310" s="149"/>
      <c r="AA310" s="149"/>
      <c r="AB310" s="149"/>
      <c r="AC310" s="149"/>
      <c r="AD310" s="149"/>
      <c r="AE310" s="149"/>
      <c r="AF310" s="149"/>
      <c r="AG310" s="149"/>
      <c r="AH310" s="149"/>
      <c r="AI310" s="149"/>
      <c r="AJ310" s="149"/>
      <c r="AK310" s="149"/>
      <c r="AL310" s="149"/>
      <c r="AM310" s="149"/>
      <c r="AN310" s="149"/>
      <c r="AO310" s="149"/>
      <c r="AP310" s="149"/>
      <c r="AQ310" s="149"/>
      <c r="AR310" s="149"/>
      <c r="AS310" s="149"/>
      <c r="AT310" s="149"/>
      <c r="AU310" s="149"/>
      <c r="AV310" s="149"/>
      <c r="AW310" s="149"/>
      <c r="AX310" s="149"/>
      <c r="AY310" s="149"/>
      <c r="AZ310" s="149"/>
      <c r="BA310" s="149"/>
      <c r="BB310" s="149"/>
      <c r="BC310" s="149"/>
      <c r="BD310" s="149"/>
      <c r="BE310" s="149"/>
      <c r="BF310" s="149"/>
      <c r="BG310" s="149"/>
      <c r="BH310" s="149"/>
      <c r="BI310" s="149"/>
      <c r="BJ310" s="149"/>
      <c r="BK310" s="149"/>
      <c r="BL310" s="79"/>
      <c r="BM310" s="149"/>
    </row>
    <row r="311" spans="2:65" x14ac:dyDescent="0.25">
      <c r="B311" s="149"/>
      <c r="C311" s="149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  <c r="Y311" s="149"/>
      <c r="Z311" s="149"/>
      <c r="AA311" s="149"/>
      <c r="AB311" s="149"/>
      <c r="AC311" s="149"/>
      <c r="AD311" s="149"/>
      <c r="AE311" s="149"/>
      <c r="AF311" s="149"/>
      <c r="AG311" s="149"/>
      <c r="AH311" s="149"/>
      <c r="AI311" s="149"/>
      <c r="AJ311" s="149"/>
      <c r="AK311" s="149"/>
      <c r="AL311" s="149"/>
      <c r="AM311" s="149"/>
      <c r="AN311" s="149"/>
      <c r="AO311" s="149"/>
      <c r="AP311" s="149"/>
      <c r="AQ311" s="149"/>
      <c r="AR311" s="149"/>
      <c r="AS311" s="149"/>
      <c r="AT311" s="149"/>
      <c r="AU311" s="149"/>
      <c r="AV311" s="149"/>
      <c r="AW311" s="149"/>
      <c r="AX311" s="149"/>
      <c r="AY311" s="149"/>
      <c r="AZ311" s="149"/>
      <c r="BA311" s="149"/>
      <c r="BB311" s="149"/>
      <c r="BC311" s="149"/>
      <c r="BD311" s="149"/>
      <c r="BE311" s="149"/>
      <c r="BF311" s="149"/>
      <c r="BG311" s="149"/>
      <c r="BH311" s="149"/>
      <c r="BI311" s="149"/>
      <c r="BJ311" s="149"/>
      <c r="BK311" s="149"/>
      <c r="BL311" s="79"/>
      <c r="BM311" s="149"/>
    </row>
    <row r="312" spans="2:65" x14ac:dyDescent="0.25">
      <c r="B312" s="149"/>
      <c r="C312" s="149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/>
      <c r="Z312" s="149"/>
      <c r="AA312" s="149"/>
      <c r="AB312" s="149"/>
      <c r="AC312" s="149"/>
      <c r="AD312" s="149"/>
      <c r="AE312" s="149"/>
      <c r="AF312" s="149"/>
      <c r="AG312" s="149"/>
      <c r="AH312" s="149"/>
      <c r="AI312" s="149"/>
      <c r="AJ312" s="149"/>
      <c r="AK312" s="149"/>
      <c r="AL312" s="149"/>
      <c r="AM312" s="149"/>
      <c r="AN312" s="149"/>
      <c r="AO312" s="149"/>
      <c r="AP312" s="149"/>
      <c r="AQ312" s="149"/>
      <c r="AR312" s="149"/>
      <c r="AS312" s="149"/>
      <c r="AT312" s="149"/>
      <c r="AU312" s="149"/>
      <c r="AV312" s="149"/>
      <c r="AW312" s="149"/>
      <c r="AX312" s="149"/>
      <c r="AY312" s="149"/>
      <c r="AZ312" s="149"/>
      <c r="BA312" s="149"/>
      <c r="BB312" s="149"/>
      <c r="BC312" s="149"/>
      <c r="BD312" s="149"/>
      <c r="BE312" s="149"/>
      <c r="BF312" s="149"/>
      <c r="BG312" s="149"/>
      <c r="BH312" s="149"/>
      <c r="BI312" s="149"/>
      <c r="BJ312" s="149"/>
      <c r="BK312" s="149"/>
      <c r="BL312" s="79"/>
      <c r="BM312" s="149"/>
    </row>
    <row r="313" spans="2:65" x14ac:dyDescent="0.25">
      <c r="B313" s="149"/>
      <c r="C313" s="149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  <c r="Y313" s="149"/>
      <c r="Z313" s="149"/>
      <c r="AA313" s="149"/>
      <c r="AB313" s="149"/>
      <c r="AC313" s="149"/>
      <c r="AD313" s="149"/>
      <c r="AE313" s="149"/>
      <c r="AF313" s="149"/>
      <c r="AG313" s="149"/>
      <c r="AH313" s="149"/>
      <c r="AI313" s="149"/>
      <c r="AJ313" s="149"/>
      <c r="AK313" s="149"/>
      <c r="AL313" s="149"/>
      <c r="AM313" s="149"/>
      <c r="AN313" s="149"/>
      <c r="AO313" s="149"/>
      <c r="AP313" s="149"/>
      <c r="AQ313" s="149"/>
      <c r="AR313" s="149"/>
      <c r="AS313" s="149"/>
      <c r="AT313" s="149"/>
      <c r="AU313" s="149"/>
      <c r="AV313" s="149"/>
      <c r="AW313" s="149"/>
      <c r="AX313" s="149"/>
      <c r="AY313" s="149"/>
      <c r="AZ313" s="149"/>
      <c r="BA313" s="149"/>
      <c r="BB313" s="149"/>
      <c r="BC313" s="149"/>
      <c r="BD313" s="149"/>
      <c r="BE313" s="149"/>
      <c r="BF313" s="149"/>
      <c r="BG313" s="149"/>
      <c r="BH313" s="149"/>
      <c r="BI313" s="149"/>
      <c r="BJ313" s="149"/>
      <c r="BK313" s="149"/>
      <c r="BL313" s="79"/>
      <c r="BM313" s="149"/>
    </row>
    <row r="314" spans="2:65" x14ac:dyDescent="0.25">
      <c r="B314" s="149"/>
      <c r="C314" s="149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  <c r="Y314" s="149"/>
      <c r="Z314" s="149"/>
      <c r="AA314" s="149"/>
      <c r="AB314" s="149"/>
      <c r="AC314" s="149"/>
      <c r="AD314" s="149"/>
      <c r="AE314" s="149"/>
      <c r="AF314" s="149"/>
      <c r="AG314" s="149"/>
      <c r="AH314" s="149"/>
      <c r="AI314" s="149"/>
      <c r="AJ314" s="149"/>
      <c r="AK314" s="149"/>
      <c r="AL314" s="149"/>
      <c r="AM314" s="149"/>
      <c r="AN314" s="149"/>
      <c r="AO314" s="149"/>
      <c r="AP314" s="149"/>
      <c r="AQ314" s="149"/>
      <c r="AR314" s="149"/>
      <c r="AS314" s="149"/>
      <c r="AT314" s="149"/>
      <c r="AU314" s="149"/>
      <c r="AV314" s="149"/>
      <c r="AW314" s="149"/>
      <c r="AX314" s="149"/>
      <c r="AY314" s="149"/>
      <c r="AZ314" s="149"/>
      <c r="BA314" s="149"/>
      <c r="BB314" s="149"/>
      <c r="BC314" s="149"/>
      <c r="BD314" s="149"/>
      <c r="BE314" s="149"/>
      <c r="BF314" s="149"/>
      <c r="BG314" s="149"/>
      <c r="BH314" s="149"/>
      <c r="BI314" s="149"/>
      <c r="BJ314" s="149"/>
      <c r="BK314" s="149"/>
      <c r="BL314" s="79"/>
      <c r="BM314" s="149"/>
    </row>
    <row r="315" spans="2:65" x14ac:dyDescent="0.25">
      <c r="B315" s="149"/>
      <c r="C315" s="149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  <c r="Z315" s="149"/>
      <c r="AA315" s="149"/>
      <c r="AB315" s="149"/>
      <c r="AC315" s="149"/>
      <c r="AD315" s="149"/>
      <c r="AE315" s="149"/>
      <c r="AF315" s="149"/>
      <c r="AG315" s="149"/>
      <c r="AH315" s="149"/>
      <c r="AI315" s="149"/>
      <c r="AJ315" s="149"/>
      <c r="AK315" s="149"/>
      <c r="AL315" s="149"/>
      <c r="AM315" s="149"/>
      <c r="AN315" s="149"/>
      <c r="AO315" s="149"/>
      <c r="AP315" s="149"/>
      <c r="AQ315" s="149"/>
      <c r="AR315" s="149"/>
      <c r="AS315" s="149"/>
      <c r="AT315" s="149"/>
      <c r="AU315" s="149"/>
      <c r="AV315" s="149"/>
      <c r="AW315" s="149"/>
      <c r="AX315" s="149"/>
      <c r="AY315" s="149"/>
      <c r="AZ315" s="149"/>
      <c r="BA315" s="149"/>
      <c r="BB315" s="149"/>
      <c r="BC315" s="149"/>
      <c r="BD315" s="149"/>
      <c r="BE315" s="149"/>
      <c r="BF315" s="149"/>
      <c r="BG315" s="149"/>
      <c r="BH315" s="149"/>
      <c r="BI315" s="149"/>
      <c r="BJ315" s="149"/>
      <c r="BK315" s="149"/>
      <c r="BL315" s="79"/>
      <c r="BM315" s="149"/>
    </row>
    <row r="316" spans="2:65" x14ac:dyDescent="0.25">
      <c r="B316" s="149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  <c r="AA316" s="149"/>
      <c r="AB316" s="149"/>
      <c r="AC316" s="149"/>
      <c r="AD316" s="149"/>
      <c r="AE316" s="149"/>
      <c r="AF316" s="149"/>
      <c r="AG316" s="149"/>
      <c r="AH316" s="149"/>
      <c r="AI316" s="149"/>
      <c r="AJ316" s="149"/>
      <c r="AK316" s="149"/>
      <c r="AL316" s="149"/>
      <c r="AM316" s="149"/>
      <c r="AN316" s="149"/>
      <c r="AO316" s="149"/>
      <c r="AP316" s="149"/>
      <c r="AQ316" s="149"/>
      <c r="AR316" s="149"/>
      <c r="AS316" s="149"/>
      <c r="AT316" s="149"/>
      <c r="AU316" s="149"/>
      <c r="AV316" s="149"/>
      <c r="AW316" s="149"/>
      <c r="AX316" s="149"/>
      <c r="AY316" s="149"/>
      <c r="AZ316" s="149"/>
      <c r="BA316" s="149"/>
      <c r="BB316" s="149"/>
      <c r="BC316" s="149"/>
      <c r="BD316" s="149"/>
      <c r="BE316" s="149"/>
      <c r="BF316" s="149"/>
      <c r="BG316" s="149"/>
      <c r="BH316" s="149"/>
      <c r="BI316" s="149"/>
      <c r="BJ316" s="149"/>
      <c r="BK316" s="149"/>
      <c r="BL316" s="79"/>
      <c r="BM316" s="149"/>
    </row>
    <row r="317" spans="2:65" x14ac:dyDescent="0.25">
      <c r="B317" s="149"/>
      <c r="C317" s="149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  <c r="Z317" s="149"/>
      <c r="AA317" s="149"/>
      <c r="AB317" s="149"/>
      <c r="AC317" s="149"/>
      <c r="AD317" s="149"/>
      <c r="AE317" s="149"/>
      <c r="AF317" s="149"/>
      <c r="AG317" s="149"/>
      <c r="AH317" s="149"/>
      <c r="AI317" s="149"/>
      <c r="AJ317" s="149"/>
      <c r="AK317" s="149"/>
      <c r="AL317" s="149"/>
      <c r="AM317" s="149"/>
      <c r="AN317" s="149"/>
      <c r="AO317" s="149"/>
      <c r="AP317" s="149"/>
      <c r="AQ317" s="149"/>
      <c r="AR317" s="149"/>
      <c r="AS317" s="149"/>
      <c r="AT317" s="149"/>
      <c r="AU317" s="149"/>
      <c r="AV317" s="149"/>
      <c r="AW317" s="149"/>
      <c r="AX317" s="149"/>
      <c r="AY317" s="149"/>
      <c r="AZ317" s="149"/>
      <c r="BA317" s="149"/>
      <c r="BB317" s="149"/>
      <c r="BC317" s="149"/>
      <c r="BD317" s="149"/>
      <c r="BE317" s="149"/>
      <c r="BF317" s="149"/>
      <c r="BG317" s="149"/>
      <c r="BH317" s="149"/>
      <c r="BI317" s="149"/>
      <c r="BJ317" s="149"/>
      <c r="BK317" s="149"/>
      <c r="BL317" s="79"/>
      <c r="BM317" s="149"/>
    </row>
    <row r="318" spans="2:65" x14ac:dyDescent="0.25">
      <c r="B318" s="149"/>
      <c r="C318" s="149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  <c r="Z318" s="149"/>
      <c r="AA318" s="149"/>
      <c r="AB318" s="149"/>
      <c r="AC318" s="149"/>
      <c r="AD318" s="149"/>
      <c r="AE318" s="149"/>
      <c r="AF318" s="149"/>
      <c r="AG318" s="149"/>
      <c r="AH318" s="149"/>
      <c r="AI318" s="149"/>
      <c r="AJ318" s="149"/>
      <c r="AK318" s="149"/>
      <c r="AL318" s="149"/>
      <c r="AM318" s="149"/>
      <c r="AN318" s="149"/>
      <c r="AO318" s="149"/>
      <c r="AP318" s="149"/>
      <c r="AQ318" s="149"/>
      <c r="AR318" s="149"/>
      <c r="AS318" s="149"/>
      <c r="AT318" s="149"/>
      <c r="AU318" s="149"/>
      <c r="AV318" s="149"/>
      <c r="AW318" s="149"/>
      <c r="AX318" s="149"/>
      <c r="AY318" s="149"/>
      <c r="AZ318" s="149"/>
      <c r="BA318" s="149"/>
      <c r="BB318" s="149"/>
      <c r="BC318" s="149"/>
      <c r="BD318" s="149"/>
      <c r="BE318" s="149"/>
      <c r="BF318" s="149"/>
      <c r="BG318" s="149"/>
      <c r="BH318" s="149"/>
      <c r="BI318" s="149"/>
      <c r="BJ318" s="149"/>
      <c r="BK318" s="149"/>
      <c r="BL318" s="79"/>
      <c r="BM318" s="149"/>
    </row>
    <row r="319" spans="2:65" x14ac:dyDescent="0.25">
      <c r="B319" s="149"/>
      <c r="C319" s="149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  <c r="Y319" s="149"/>
      <c r="Z319" s="149"/>
      <c r="AA319" s="149"/>
      <c r="AB319" s="149"/>
      <c r="AC319" s="149"/>
      <c r="AD319" s="149"/>
      <c r="AE319" s="149"/>
      <c r="AF319" s="149"/>
      <c r="AG319" s="149"/>
      <c r="AH319" s="149"/>
      <c r="AI319" s="149"/>
      <c r="AJ319" s="149"/>
      <c r="AK319" s="149"/>
      <c r="AL319" s="149"/>
      <c r="AM319" s="149"/>
      <c r="AN319" s="149"/>
      <c r="AO319" s="149"/>
      <c r="AP319" s="149"/>
      <c r="AQ319" s="149"/>
      <c r="AR319" s="149"/>
      <c r="AS319" s="149"/>
      <c r="AT319" s="149"/>
      <c r="AU319" s="149"/>
      <c r="AV319" s="149"/>
      <c r="AW319" s="149"/>
      <c r="AX319" s="149"/>
      <c r="AY319" s="149"/>
      <c r="AZ319" s="149"/>
      <c r="BA319" s="149"/>
      <c r="BB319" s="149"/>
      <c r="BC319" s="149"/>
      <c r="BD319" s="149"/>
      <c r="BE319" s="149"/>
      <c r="BF319" s="149"/>
      <c r="BG319" s="149"/>
      <c r="BH319" s="149"/>
      <c r="BI319" s="149"/>
      <c r="BJ319" s="149"/>
      <c r="BK319" s="149"/>
      <c r="BL319" s="79"/>
      <c r="BM319" s="149"/>
    </row>
    <row r="320" spans="2:65" x14ac:dyDescent="0.25">
      <c r="B320" s="149"/>
      <c r="C320" s="149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  <c r="Y320" s="149"/>
      <c r="Z320" s="149"/>
      <c r="AA320" s="149"/>
      <c r="AB320" s="149"/>
      <c r="AC320" s="149"/>
      <c r="AD320" s="149"/>
      <c r="AE320" s="149"/>
      <c r="AF320" s="149"/>
      <c r="AG320" s="149"/>
      <c r="AH320" s="149"/>
      <c r="AI320" s="149"/>
      <c r="AJ320" s="149"/>
      <c r="AK320" s="149"/>
      <c r="AL320" s="149"/>
      <c r="AM320" s="149"/>
      <c r="AN320" s="149"/>
      <c r="AO320" s="149"/>
      <c r="AP320" s="149"/>
      <c r="AQ320" s="149"/>
      <c r="AR320" s="149"/>
      <c r="AS320" s="149"/>
      <c r="AT320" s="149"/>
      <c r="AU320" s="149"/>
      <c r="AV320" s="149"/>
      <c r="AW320" s="149"/>
      <c r="AX320" s="149"/>
      <c r="AY320" s="149"/>
      <c r="AZ320" s="149"/>
      <c r="BA320" s="149"/>
      <c r="BB320" s="149"/>
      <c r="BC320" s="149"/>
      <c r="BD320" s="149"/>
      <c r="BE320" s="149"/>
      <c r="BF320" s="149"/>
      <c r="BG320" s="149"/>
      <c r="BH320" s="149"/>
      <c r="BI320" s="149"/>
      <c r="BJ320" s="149"/>
      <c r="BK320" s="149"/>
      <c r="BL320" s="79"/>
      <c r="BM320" s="149"/>
    </row>
    <row r="321" spans="2:65" x14ac:dyDescent="0.25">
      <c r="B321" s="149"/>
      <c r="C321" s="149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  <c r="W321" s="149"/>
      <c r="X321" s="149"/>
      <c r="Y321" s="149"/>
      <c r="Z321" s="149"/>
      <c r="AA321" s="149"/>
      <c r="AB321" s="149"/>
      <c r="AC321" s="149"/>
      <c r="AD321" s="149"/>
      <c r="AE321" s="149"/>
      <c r="AF321" s="149"/>
      <c r="AG321" s="149"/>
      <c r="AH321" s="149"/>
      <c r="AI321" s="149"/>
      <c r="AJ321" s="149"/>
      <c r="AK321" s="149"/>
      <c r="AL321" s="149"/>
      <c r="AM321" s="149"/>
      <c r="AN321" s="149"/>
      <c r="AO321" s="149"/>
      <c r="AP321" s="149"/>
      <c r="AQ321" s="149"/>
      <c r="AR321" s="149"/>
      <c r="AS321" s="149"/>
      <c r="AT321" s="149"/>
      <c r="AU321" s="149"/>
      <c r="AV321" s="149"/>
      <c r="AW321" s="149"/>
      <c r="AX321" s="149"/>
      <c r="AY321" s="149"/>
      <c r="AZ321" s="149"/>
      <c r="BA321" s="149"/>
      <c r="BB321" s="149"/>
      <c r="BC321" s="149"/>
      <c r="BD321" s="149"/>
      <c r="BE321" s="149"/>
      <c r="BF321" s="149"/>
      <c r="BG321" s="149"/>
      <c r="BH321" s="149"/>
      <c r="BI321" s="149"/>
      <c r="BJ321" s="149"/>
      <c r="BK321" s="149"/>
      <c r="BL321" s="79"/>
      <c r="BM321" s="149"/>
    </row>
    <row r="322" spans="2:65" x14ac:dyDescent="0.25">
      <c r="B322" s="149"/>
      <c r="C322" s="149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  <c r="Y322" s="149"/>
      <c r="Z322" s="149"/>
      <c r="AA322" s="149"/>
      <c r="AB322" s="149"/>
      <c r="AC322" s="149"/>
      <c r="AD322" s="149"/>
      <c r="AE322" s="149"/>
      <c r="AF322" s="149"/>
      <c r="AG322" s="149"/>
      <c r="AH322" s="149"/>
      <c r="AI322" s="149"/>
      <c r="AJ322" s="149"/>
      <c r="AK322" s="149"/>
      <c r="AL322" s="149"/>
      <c r="AM322" s="149"/>
      <c r="AN322" s="149"/>
      <c r="AO322" s="149"/>
      <c r="AP322" s="149"/>
      <c r="AQ322" s="149"/>
      <c r="AR322" s="149"/>
      <c r="AS322" s="149"/>
      <c r="AT322" s="149"/>
      <c r="AU322" s="149"/>
      <c r="AV322" s="149"/>
      <c r="AW322" s="149"/>
      <c r="AX322" s="149"/>
      <c r="AY322" s="149"/>
      <c r="AZ322" s="149"/>
      <c r="BA322" s="149"/>
      <c r="BB322" s="149"/>
      <c r="BC322" s="149"/>
      <c r="BD322" s="149"/>
      <c r="BE322" s="149"/>
      <c r="BF322" s="149"/>
      <c r="BG322" s="149"/>
      <c r="BH322" s="149"/>
      <c r="BI322" s="149"/>
      <c r="BJ322" s="149"/>
      <c r="BK322" s="149"/>
      <c r="BL322" s="79"/>
      <c r="BM322" s="149"/>
    </row>
    <row r="323" spans="2:65" x14ac:dyDescent="0.25">
      <c r="B323" s="149"/>
      <c r="C323" s="149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  <c r="W323" s="149"/>
      <c r="X323" s="149"/>
      <c r="Y323" s="149"/>
      <c r="Z323" s="149"/>
      <c r="AA323" s="149"/>
      <c r="AB323" s="149"/>
      <c r="AC323" s="149"/>
      <c r="AD323" s="149"/>
      <c r="AE323" s="149"/>
      <c r="AF323" s="149"/>
      <c r="AG323" s="149"/>
      <c r="AH323" s="149"/>
      <c r="AI323" s="149"/>
      <c r="AJ323" s="149"/>
      <c r="AK323" s="149"/>
      <c r="AL323" s="149"/>
      <c r="AM323" s="149"/>
      <c r="AN323" s="149"/>
      <c r="AO323" s="149"/>
      <c r="AP323" s="149"/>
      <c r="AQ323" s="149"/>
      <c r="AR323" s="149"/>
      <c r="AS323" s="149"/>
      <c r="AT323" s="149"/>
      <c r="AU323" s="149"/>
      <c r="AV323" s="149"/>
      <c r="AW323" s="149"/>
      <c r="AX323" s="149"/>
      <c r="AY323" s="149"/>
      <c r="AZ323" s="149"/>
      <c r="BA323" s="149"/>
      <c r="BB323" s="149"/>
      <c r="BC323" s="149"/>
      <c r="BD323" s="149"/>
      <c r="BE323" s="149"/>
      <c r="BF323" s="149"/>
      <c r="BG323" s="149"/>
      <c r="BH323" s="149"/>
      <c r="BI323" s="149"/>
      <c r="BJ323" s="149"/>
      <c r="BK323" s="149"/>
      <c r="BL323" s="79"/>
      <c r="BM323" s="149"/>
    </row>
    <row r="324" spans="2:65" x14ac:dyDescent="0.25">
      <c r="B324" s="149"/>
      <c r="C324" s="149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49"/>
      <c r="Y324" s="149"/>
      <c r="Z324" s="149"/>
      <c r="AA324" s="149"/>
      <c r="AB324" s="149"/>
      <c r="AC324" s="149"/>
      <c r="AD324" s="149"/>
      <c r="AE324" s="149"/>
      <c r="AF324" s="149"/>
      <c r="AG324" s="149"/>
      <c r="AH324" s="149"/>
      <c r="AI324" s="149"/>
      <c r="AJ324" s="149"/>
      <c r="AK324" s="149"/>
      <c r="AL324" s="149"/>
      <c r="AM324" s="149"/>
      <c r="AN324" s="149"/>
      <c r="AO324" s="149"/>
      <c r="AP324" s="149"/>
      <c r="AQ324" s="149"/>
      <c r="AR324" s="149"/>
      <c r="AS324" s="149"/>
      <c r="AT324" s="149"/>
      <c r="AU324" s="149"/>
      <c r="AV324" s="149"/>
      <c r="AW324" s="149"/>
      <c r="AX324" s="149"/>
      <c r="AY324" s="149"/>
      <c r="AZ324" s="149"/>
      <c r="BA324" s="149"/>
      <c r="BB324" s="149"/>
      <c r="BC324" s="149"/>
      <c r="BD324" s="149"/>
      <c r="BE324" s="149"/>
      <c r="BF324" s="149"/>
      <c r="BG324" s="149"/>
      <c r="BH324" s="149"/>
      <c r="BI324" s="149"/>
      <c r="BJ324" s="149"/>
      <c r="BK324" s="149"/>
      <c r="BL324" s="79"/>
      <c r="BM324" s="149"/>
    </row>
    <row r="325" spans="2:65" x14ac:dyDescent="0.25">
      <c r="B325" s="149"/>
      <c r="C325" s="149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  <c r="Y325" s="149"/>
      <c r="Z325" s="149"/>
      <c r="AA325" s="149"/>
      <c r="AB325" s="149"/>
      <c r="AC325" s="149"/>
      <c r="AD325" s="149"/>
      <c r="AE325" s="149"/>
      <c r="AF325" s="149"/>
      <c r="AG325" s="149"/>
      <c r="AH325" s="149"/>
      <c r="AI325" s="149"/>
      <c r="AJ325" s="149"/>
      <c r="AK325" s="149"/>
      <c r="AL325" s="149"/>
      <c r="AM325" s="149"/>
      <c r="AN325" s="149"/>
      <c r="AO325" s="149"/>
      <c r="AP325" s="149"/>
      <c r="AQ325" s="149"/>
      <c r="AR325" s="149"/>
      <c r="AS325" s="149"/>
      <c r="AT325" s="149"/>
      <c r="AU325" s="149"/>
      <c r="AV325" s="149"/>
      <c r="AW325" s="149"/>
      <c r="AX325" s="149"/>
      <c r="AY325" s="149"/>
      <c r="AZ325" s="149"/>
      <c r="BA325" s="149"/>
      <c r="BB325" s="149"/>
      <c r="BC325" s="149"/>
      <c r="BD325" s="149"/>
      <c r="BE325" s="149"/>
      <c r="BF325" s="149"/>
      <c r="BG325" s="149"/>
      <c r="BH325" s="149"/>
      <c r="BI325" s="149"/>
      <c r="BJ325" s="149"/>
      <c r="BK325" s="149"/>
      <c r="BL325" s="79"/>
      <c r="BM325" s="149"/>
    </row>
    <row r="326" spans="2:65" x14ac:dyDescent="0.25">
      <c r="B326" s="149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  <c r="Z326" s="149"/>
      <c r="AA326" s="149"/>
      <c r="AB326" s="149"/>
      <c r="AC326" s="149"/>
      <c r="AD326" s="149"/>
      <c r="AE326" s="149"/>
      <c r="AF326" s="149"/>
      <c r="AG326" s="149"/>
      <c r="AH326" s="149"/>
      <c r="AI326" s="149"/>
      <c r="AJ326" s="149"/>
      <c r="AK326" s="149"/>
      <c r="AL326" s="149"/>
      <c r="AM326" s="149"/>
      <c r="AN326" s="149"/>
      <c r="AO326" s="149"/>
      <c r="AP326" s="149"/>
      <c r="AQ326" s="149"/>
      <c r="AR326" s="149"/>
      <c r="AS326" s="149"/>
      <c r="AT326" s="149"/>
      <c r="AU326" s="149"/>
      <c r="AV326" s="149"/>
      <c r="AW326" s="149"/>
      <c r="AX326" s="149"/>
      <c r="AY326" s="149"/>
      <c r="AZ326" s="149"/>
      <c r="BA326" s="149"/>
      <c r="BB326" s="149"/>
      <c r="BC326" s="149"/>
      <c r="BD326" s="149"/>
      <c r="BE326" s="149"/>
      <c r="BF326" s="149"/>
      <c r="BG326" s="149"/>
      <c r="BH326" s="149"/>
      <c r="BI326" s="149"/>
      <c r="BJ326" s="149"/>
      <c r="BK326" s="149"/>
      <c r="BL326" s="79"/>
      <c r="BM326" s="149"/>
    </row>
    <row r="327" spans="2:65" x14ac:dyDescent="0.25">
      <c r="B327" s="149"/>
      <c r="C327" s="149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X327" s="149"/>
      <c r="Y327" s="149"/>
      <c r="Z327" s="149"/>
      <c r="AA327" s="149"/>
      <c r="AB327" s="149"/>
      <c r="AC327" s="149"/>
      <c r="AD327" s="149"/>
      <c r="AE327" s="149"/>
      <c r="AF327" s="149"/>
      <c r="AG327" s="149"/>
      <c r="AH327" s="149"/>
      <c r="AI327" s="149"/>
      <c r="AJ327" s="149"/>
      <c r="AK327" s="149"/>
      <c r="AL327" s="149"/>
      <c r="AM327" s="149"/>
      <c r="AN327" s="149"/>
      <c r="AO327" s="149"/>
      <c r="AP327" s="149"/>
      <c r="AQ327" s="149"/>
      <c r="AR327" s="149"/>
      <c r="AS327" s="149"/>
      <c r="AT327" s="149"/>
      <c r="AU327" s="149"/>
      <c r="AV327" s="149"/>
      <c r="AW327" s="149"/>
      <c r="AX327" s="149"/>
      <c r="AY327" s="149"/>
      <c r="AZ327" s="149"/>
      <c r="BA327" s="149"/>
      <c r="BB327" s="149"/>
      <c r="BC327" s="149"/>
      <c r="BD327" s="149"/>
      <c r="BE327" s="149"/>
      <c r="BF327" s="149"/>
      <c r="BG327" s="149"/>
      <c r="BH327" s="149"/>
      <c r="BI327" s="149"/>
      <c r="BJ327" s="149"/>
      <c r="BK327" s="149"/>
      <c r="BL327" s="79"/>
      <c r="BM327" s="149"/>
    </row>
    <row r="328" spans="2:65" x14ac:dyDescent="0.25">
      <c r="B328" s="149"/>
      <c r="C328" s="149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  <c r="Z328" s="149"/>
      <c r="AA328" s="149"/>
      <c r="AB328" s="149"/>
      <c r="AC328" s="149"/>
      <c r="AD328" s="149"/>
      <c r="AE328" s="149"/>
      <c r="AF328" s="149"/>
      <c r="AG328" s="149"/>
      <c r="AH328" s="149"/>
      <c r="AI328" s="149"/>
      <c r="AJ328" s="149"/>
      <c r="AK328" s="149"/>
      <c r="AL328" s="149"/>
      <c r="AM328" s="149"/>
      <c r="AN328" s="149"/>
      <c r="AO328" s="149"/>
      <c r="AP328" s="149"/>
      <c r="AQ328" s="149"/>
      <c r="AR328" s="149"/>
      <c r="AS328" s="149"/>
      <c r="AT328" s="149"/>
      <c r="AU328" s="149"/>
      <c r="AV328" s="149"/>
      <c r="AW328" s="149"/>
      <c r="AX328" s="149"/>
      <c r="AY328" s="149"/>
      <c r="AZ328" s="149"/>
      <c r="BA328" s="149"/>
      <c r="BB328" s="149"/>
      <c r="BC328" s="149"/>
      <c r="BD328" s="149"/>
      <c r="BE328" s="149"/>
      <c r="BF328" s="149"/>
      <c r="BG328" s="149"/>
      <c r="BH328" s="149"/>
      <c r="BI328" s="149"/>
      <c r="BJ328" s="149"/>
      <c r="BK328" s="149"/>
      <c r="BL328" s="79"/>
      <c r="BM328" s="149"/>
    </row>
    <row r="329" spans="2:65" x14ac:dyDescent="0.25">
      <c r="B329" s="149"/>
      <c r="C329" s="149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  <c r="Z329" s="149"/>
      <c r="AA329" s="149"/>
      <c r="AB329" s="149"/>
      <c r="AC329" s="149"/>
      <c r="AD329" s="149"/>
      <c r="AE329" s="149"/>
      <c r="AF329" s="149"/>
      <c r="AG329" s="149"/>
      <c r="AH329" s="149"/>
      <c r="AI329" s="149"/>
      <c r="AJ329" s="149"/>
      <c r="AK329" s="149"/>
      <c r="AL329" s="149"/>
      <c r="AM329" s="149"/>
      <c r="AN329" s="149"/>
      <c r="AO329" s="149"/>
      <c r="AP329" s="149"/>
      <c r="AQ329" s="149"/>
      <c r="AR329" s="149"/>
      <c r="AS329" s="149"/>
      <c r="AT329" s="149"/>
      <c r="AU329" s="149"/>
      <c r="AV329" s="149"/>
      <c r="AW329" s="149"/>
      <c r="AX329" s="149"/>
      <c r="AY329" s="149"/>
      <c r="AZ329" s="149"/>
      <c r="BA329" s="149"/>
      <c r="BB329" s="149"/>
      <c r="BC329" s="149"/>
      <c r="BD329" s="149"/>
      <c r="BE329" s="149"/>
      <c r="BF329" s="149"/>
      <c r="BG329" s="149"/>
      <c r="BH329" s="149"/>
      <c r="BI329" s="149"/>
      <c r="BJ329" s="149"/>
      <c r="BK329" s="149"/>
      <c r="BL329" s="79"/>
      <c r="BM329" s="149"/>
    </row>
    <row r="330" spans="2:65" x14ac:dyDescent="0.25">
      <c r="B330" s="149"/>
      <c r="C330" s="149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  <c r="Y330" s="149"/>
      <c r="Z330" s="149"/>
      <c r="AA330" s="149"/>
      <c r="AB330" s="149"/>
      <c r="AC330" s="149"/>
      <c r="AD330" s="149"/>
      <c r="AE330" s="149"/>
      <c r="AF330" s="149"/>
      <c r="AG330" s="149"/>
      <c r="AH330" s="149"/>
      <c r="AI330" s="149"/>
      <c r="AJ330" s="149"/>
      <c r="AK330" s="149"/>
      <c r="AL330" s="149"/>
      <c r="AM330" s="149"/>
      <c r="AN330" s="149"/>
      <c r="AO330" s="149"/>
      <c r="AP330" s="149"/>
      <c r="AQ330" s="149"/>
      <c r="AR330" s="149"/>
      <c r="AS330" s="149"/>
      <c r="AT330" s="149"/>
      <c r="AU330" s="149"/>
      <c r="AV330" s="149"/>
      <c r="AW330" s="149"/>
      <c r="AX330" s="149"/>
      <c r="AY330" s="149"/>
      <c r="AZ330" s="149"/>
      <c r="BA330" s="149"/>
      <c r="BB330" s="149"/>
      <c r="BC330" s="149"/>
      <c r="BD330" s="149"/>
      <c r="BE330" s="149"/>
      <c r="BF330" s="149"/>
      <c r="BG330" s="149"/>
      <c r="BH330" s="149"/>
      <c r="BI330" s="149"/>
      <c r="BJ330" s="149"/>
      <c r="BK330" s="149"/>
      <c r="BL330" s="79"/>
      <c r="BM330" s="149"/>
    </row>
    <row r="331" spans="2:65" x14ac:dyDescent="0.25">
      <c r="B331" s="149"/>
      <c r="C331" s="149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  <c r="Y331" s="149"/>
      <c r="Z331" s="149"/>
      <c r="AA331" s="149"/>
      <c r="AB331" s="149"/>
      <c r="AC331" s="149"/>
      <c r="AD331" s="149"/>
      <c r="AE331" s="149"/>
      <c r="AF331" s="149"/>
      <c r="AG331" s="149"/>
      <c r="AH331" s="149"/>
      <c r="AI331" s="149"/>
      <c r="AJ331" s="149"/>
      <c r="AK331" s="149"/>
      <c r="AL331" s="149"/>
      <c r="AM331" s="149"/>
      <c r="AN331" s="149"/>
      <c r="AO331" s="149"/>
      <c r="AP331" s="149"/>
      <c r="AQ331" s="149"/>
      <c r="AR331" s="149"/>
      <c r="AS331" s="149"/>
      <c r="AT331" s="149"/>
      <c r="AU331" s="149"/>
      <c r="AV331" s="149"/>
      <c r="AW331" s="149"/>
      <c r="AX331" s="149"/>
      <c r="AY331" s="149"/>
      <c r="AZ331" s="149"/>
      <c r="BA331" s="149"/>
      <c r="BB331" s="149"/>
      <c r="BC331" s="149"/>
      <c r="BD331" s="149"/>
      <c r="BE331" s="149"/>
      <c r="BF331" s="149"/>
      <c r="BG331" s="149"/>
      <c r="BH331" s="149"/>
      <c r="BI331" s="149"/>
      <c r="BJ331" s="149"/>
      <c r="BK331" s="149"/>
      <c r="BL331" s="79"/>
      <c r="BM331" s="149"/>
    </row>
    <row r="332" spans="2:65" x14ac:dyDescent="0.25">
      <c r="B332" s="149"/>
      <c r="C332" s="149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  <c r="Z332" s="149"/>
      <c r="AA332" s="149"/>
      <c r="AB332" s="149"/>
      <c r="AC332" s="149"/>
      <c r="AD332" s="149"/>
      <c r="AE332" s="149"/>
      <c r="AF332" s="149"/>
      <c r="AG332" s="149"/>
      <c r="AH332" s="149"/>
      <c r="AI332" s="149"/>
      <c r="AJ332" s="149"/>
      <c r="AK332" s="149"/>
      <c r="AL332" s="149"/>
      <c r="AM332" s="149"/>
      <c r="AN332" s="149"/>
      <c r="AO332" s="149"/>
      <c r="AP332" s="149"/>
      <c r="AQ332" s="149"/>
      <c r="AR332" s="149"/>
      <c r="AS332" s="149"/>
      <c r="AT332" s="149"/>
      <c r="AU332" s="149"/>
      <c r="AV332" s="149"/>
      <c r="AW332" s="149"/>
      <c r="AX332" s="149"/>
      <c r="AY332" s="149"/>
      <c r="AZ332" s="149"/>
      <c r="BA332" s="149"/>
      <c r="BB332" s="149"/>
      <c r="BC332" s="149"/>
      <c r="BD332" s="149"/>
      <c r="BE332" s="149"/>
      <c r="BF332" s="149"/>
      <c r="BG332" s="149"/>
      <c r="BH332" s="149"/>
      <c r="BI332" s="149"/>
      <c r="BJ332" s="149"/>
      <c r="BK332" s="149"/>
      <c r="BL332" s="79"/>
      <c r="BM332" s="149"/>
    </row>
    <row r="333" spans="2:65" x14ac:dyDescent="0.25">
      <c r="B333" s="149"/>
      <c r="C333" s="149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  <c r="Y333" s="149"/>
      <c r="Z333" s="149"/>
      <c r="AA333" s="149"/>
      <c r="AB333" s="149"/>
      <c r="AC333" s="149"/>
      <c r="AD333" s="149"/>
      <c r="AE333" s="149"/>
      <c r="AF333" s="149"/>
      <c r="AG333" s="149"/>
      <c r="AH333" s="149"/>
      <c r="AI333" s="149"/>
      <c r="AJ333" s="149"/>
      <c r="AK333" s="149"/>
      <c r="AL333" s="149"/>
      <c r="AM333" s="149"/>
      <c r="AN333" s="149"/>
      <c r="AO333" s="149"/>
      <c r="AP333" s="149"/>
      <c r="AQ333" s="149"/>
      <c r="AR333" s="149"/>
      <c r="AS333" s="149"/>
      <c r="AT333" s="149"/>
      <c r="AU333" s="149"/>
      <c r="AV333" s="149"/>
      <c r="AW333" s="149"/>
      <c r="AX333" s="149"/>
      <c r="AY333" s="149"/>
      <c r="AZ333" s="149"/>
      <c r="BA333" s="149"/>
      <c r="BB333" s="149"/>
      <c r="BC333" s="149"/>
      <c r="BD333" s="149"/>
      <c r="BE333" s="149"/>
      <c r="BF333" s="149"/>
      <c r="BG333" s="149"/>
      <c r="BH333" s="149"/>
      <c r="BI333" s="149"/>
      <c r="BJ333" s="149"/>
      <c r="BK333" s="149"/>
      <c r="BL333" s="79"/>
      <c r="BM333" s="149"/>
    </row>
    <row r="334" spans="2:65" x14ac:dyDescent="0.25">
      <c r="B334" s="149"/>
      <c r="C334" s="149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  <c r="Y334" s="149"/>
      <c r="Z334" s="149"/>
      <c r="AA334" s="149"/>
      <c r="AB334" s="149"/>
      <c r="AC334" s="149"/>
      <c r="AD334" s="149"/>
      <c r="AE334" s="149"/>
      <c r="AF334" s="149"/>
      <c r="AG334" s="149"/>
      <c r="AH334" s="149"/>
      <c r="AI334" s="149"/>
      <c r="AJ334" s="149"/>
      <c r="AK334" s="149"/>
      <c r="AL334" s="149"/>
      <c r="AM334" s="149"/>
      <c r="AN334" s="149"/>
      <c r="AO334" s="149"/>
      <c r="AP334" s="149"/>
      <c r="AQ334" s="149"/>
      <c r="AR334" s="149"/>
      <c r="AS334" s="149"/>
      <c r="AT334" s="149"/>
      <c r="AU334" s="149"/>
      <c r="AV334" s="149"/>
      <c r="AW334" s="149"/>
      <c r="AX334" s="149"/>
      <c r="AY334" s="149"/>
      <c r="AZ334" s="149"/>
      <c r="BA334" s="149"/>
      <c r="BB334" s="149"/>
      <c r="BC334" s="149"/>
      <c r="BD334" s="149"/>
      <c r="BE334" s="149"/>
      <c r="BF334" s="149"/>
      <c r="BG334" s="149"/>
      <c r="BH334" s="149"/>
      <c r="BI334" s="149"/>
      <c r="BJ334" s="149"/>
      <c r="BK334" s="149"/>
      <c r="BL334" s="79"/>
      <c r="BM334" s="149"/>
    </row>
    <row r="335" spans="2:65" x14ac:dyDescent="0.25">
      <c r="B335" s="149"/>
      <c r="C335" s="149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  <c r="Y335" s="149"/>
      <c r="Z335" s="149"/>
      <c r="AA335" s="149"/>
      <c r="AB335" s="149"/>
      <c r="AC335" s="149"/>
      <c r="AD335" s="149"/>
      <c r="AE335" s="149"/>
      <c r="AF335" s="149"/>
      <c r="AG335" s="149"/>
      <c r="AH335" s="149"/>
      <c r="AI335" s="149"/>
      <c r="AJ335" s="149"/>
      <c r="AK335" s="149"/>
      <c r="AL335" s="149"/>
      <c r="AM335" s="149"/>
      <c r="AN335" s="149"/>
      <c r="AO335" s="149"/>
      <c r="AP335" s="149"/>
      <c r="AQ335" s="149"/>
      <c r="AR335" s="149"/>
      <c r="AS335" s="149"/>
      <c r="AT335" s="149"/>
      <c r="AU335" s="149"/>
      <c r="AV335" s="149"/>
      <c r="AW335" s="149"/>
      <c r="AX335" s="149"/>
      <c r="AY335" s="149"/>
      <c r="AZ335" s="149"/>
      <c r="BA335" s="149"/>
      <c r="BB335" s="149"/>
      <c r="BC335" s="149"/>
      <c r="BD335" s="149"/>
      <c r="BE335" s="149"/>
      <c r="BF335" s="149"/>
      <c r="BG335" s="149"/>
      <c r="BH335" s="149"/>
      <c r="BI335" s="149"/>
      <c r="BJ335" s="149"/>
      <c r="BK335" s="149"/>
      <c r="BL335" s="79"/>
      <c r="BM335" s="149"/>
    </row>
    <row r="336" spans="2:65" x14ac:dyDescent="0.25">
      <c r="B336" s="149"/>
      <c r="C336" s="149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  <c r="Y336" s="149"/>
      <c r="Z336" s="149"/>
      <c r="AA336" s="149"/>
      <c r="AB336" s="149"/>
      <c r="AC336" s="149"/>
      <c r="AD336" s="149"/>
      <c r="AE336" s="149"/>
      <c r="AF336" s="149"/>
      <c r="AG336" s="149"/>
      <c r="AH336" s="149"/>
      <c r="AI336" s="149"/>
      <c r="AJ336" s="149"/>
      <c r="AK336" s="149"/>
      <c r="AL336" s="149"/>
      <c r="AM336" s="149"/>
      <c r="AN336" s="149"/>
      <c r="AO336" s="149"/>
      <c r="AP336" s="149"/>
      <c r="AQ336" s="149"/>
      <c r="AR336" s="149"/>
      <c r="AS336" s="149"/>
      <c r="AT336" s="149"/>
      <c r="AU336" s="149"/>
      <c r="AV336" s="149"/>
      <c r="AW336" s="149"/>
      <c r="AX336" s="149"/>
      <c r="AY336" s="149"/>
      <c r="AZ336" s="149"/>
      <c r="BA336" s="149"/>
      <c r="BB336" s="149"/>
      <c r="BC336" s="149"/>
      <c r="BD336" s="149"/>
      <c r="BE336" s="149"/>
      <c r="BF336" s="149"/>
      <c r="BG336" s="149"/>
      <c r="BH336" s="149"/>
      <c r="BI336" s="149"/>
      <c r="BJ336" s="149"/>
      <c r="BK336" s="149"/>
      <c r="BL336" s="79"/>
      <c r="BM336" s="149"/>
    </row>
    <row r="337" spans="2:65" x14ac:dyDescent="0.25">
      <c r="B337" s="149"/>
      <c r="C337" s="149"/>
      <c r="D337" s="149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  <c r="Q337" s="149"/>
      <c r="R337" s="149"/>
      <c r="S337" s="149"/>
      <c r="T337" s="149"/>
      <c r="U337" s="149"/>
      <c r="V337" s="149"/>
      <c r="W337" s="149"/>
      <c r="X337" s="149"/>
      <c r="Y337" s="149"/>
      <c r="Z337" s="149"/>
      <c r="AA337" s="149"/>
      <c r="AB337" s="149"/>
      <c r="AC337" s="149"/>
      <c r="AD337" s="149"/>
      <c r="AE337" s="149"/>
      <c r="AF337" s="149"/>
      <c r="AG337" s="149"/>
      <c r="AH337" s="149"/>
      <c r="AI337" s="149"/>
      <c r="AJ337" s="149"/>
      <c r="AK337" s="149"/>
      <c r="AL337" s="149"/>
      <c r="AM337" s="149"/>
      <c r="AN337" s="149"/>
      <c r="AO337" s="149"/>
      <c r="AP337" s="149"/>
      <c r="AQ337" s="149"/>
      <c r="AR337" s="149"/>
      <c r="AS337" s="149"/>
      <c r="AT337" s="149"/>
      <c r="AU337" s="149"/>
      <c r="AV337" s="149"/>
      <c r="AW337" s="149"/>
      <c r="AX337" s="149"/>
      <c r="AY337" s="149"/>
      <c r="AZ337" s="149"/>
      <c r="BA337" s="149"/>
      <c r="BB337" s="149"/>
      <c r="BC337" s="149"/>
      <c r="BD337" s="149"/>
      <c r="BE337" s="149"/>
      <c r="BF337" s="149"/>
      <c r="BG337" s="149"/>
      <c r="BH337" s="149"/>
      <c r="BI337" s="149"/>
      <c r="BJ337" s="149"/>
      <c r="BK337" s="149"/>
      <c r="BL337" s="79"/>
      <c r="BM337" s="149"/>
    </row>
    <row r="338" spans="2:65" x14ac:dyDescent="0.25">
      <c r="B338" s="149"/>
      <c r="C338" s="149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  <c r="R338" s="149"/>
      <c r="S338" s="149"/>
      <c r="T338" s="149"/>
      <c r="U338" s="149"/>
      <c r="V338" s="149"/>
      <c r="W338" s="149"/>
      <c r="X338" s="149"/>
      <c r="Y338" s="149"/>
      <c r="Z338" s="149"/>
      <c r="AA338" s="149"/>
      <c r="AB338" s="149"/>
      <c r="AC338" s="149"/>
      <c r="AD338" s="149"/>
      <c r="AE338" s="149"/>
      <c r="AF338" s="149"/>
      <c r="AG338" s="149"/>
      <c r="AH338" s="149"/>
      <c r="AI338" s="149"/>
      <c r="AJ338" s="149"/>
      <c r="AK338" s="149"/>
      <c r="AL338" s="149"/>
      <c r="AM338" s="149"/>
      <c r="AN338" s="149"/>
      <c r="AO338" s="149"/>
      <c r="AP338" s="149"/>
      <c r="AQ338" s="149"/>
      <c r="AR338" s="149"/>
      <c r="AS338" s="149"/>
      <c r="AT338" s="149"/>
      <c r="AU338" s="149"/>
      <c r="AV338" s="149"/>
      <c r="AW338" s="149"/>
      <c r="AX338" s="149"/>
      <c r="AY338" s="149"/>
      <c r="AZ338" s="149"/>
      <c r="BA338" s="149"/>
      <c r="BB338" s="149"/>
      <c r="BC338" s="149"/>
      <c r="BD338" s="149"/>
      <c r="BE338" s="149"/>
      <c r="BF338" s="149"/>
      <c r="BG338" s="149"/>
      <c r="BH338" s="149"/>
      <c r="BI338" s="149"/>
      <c r="BJ338" s="149"/>
      <c r="BK338" s="149"/>
      <c r="BL338" s="79"/>
      <c r="BM338" s="149"/>
    </row>
    <row r="339" spans="2:65" x14ac:dyDescent="0.25">
      <c r="B339" s="149"/>
      <c r="C339" s="149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  <c r="R339" s="149"/>
      <c r="S339" s="149"/>
      <c r="T339" s="149"/>
      <c r="U339" s="149"/>
      <c r="V339" s="149"/>
      <c r="W339" s="149"/>
      <c r="X339" s="149"/>
      <c r="Y339" s="149"/>
      <c r="Z339" s="149"/>
      <c r="AA339" s="149"/>
      <c r="AB339" s="149"/>
      <c r="AC339" s="149"/>
      <c r="AD339" s="149"/>
      <c r="AE339" s="149"/>
      <c r="AF339" s="149"/>
      <c r="AG339" s="149"/>
      <c r="AH339" s="149"/>
      <c r="AI339" s="149"/>
      <c r="AJ339" s="149"/>
      <c r="AK339" s="149"/>
      <c r="AL339" s="149"/>
      <c r="AM339" s="149"/>
      <c r="AN339" s="149"/>
      <c r="AO339" s="149"/>
      <c r="AP339" s="149"/>
      <c r="AQ339" s="149"/>
      <c r="AR339" s="149"/>
      <c r="AS339" s="149"/>
      <c r="AT339" s="149"/>
      <c r="AU339" s="149"/>
      <c r="AV339" s="149"/>
      <c r="AW339" s="149"/>
      <c r="AX339" s="149"/>
      <c r="AY339" s="149"/>
      <c r="AZ339" s="149"/>
      <c r="BA339" s="149"/>
      <c r="BB339" s="149"/>
      <c r="BC339" s="149"/>
      <c r="BD339" s="149"/>
      <c r="BE339" s="149"/>
      <c r="BF339" s="149"/>
      <c r="BG339" s="149"/>
      <c r="BH339" s="149"/>
      <c r="BI339" s="149"/>
      <c r="BJ339" s="149"/>
      <c r="BK339" s="149"/>
      <c r="BL339" s="79"/>
      <c r="BM339" s="149"/>
    </row>
    <row r="340" spans="2:65" x14ac:dyDescent="0.25">
      <c r="B340" s="149"/>
      <c r="C340" s="149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  <c r="W340" s="149"/>
      <c r="X340" s="149"/>
      <c r="Y340" s="149"/>
      <c r="Z340" s="149"/>
      <c r="AA340" s="149"/>
      <c r="AB340" s="149"/>
      <c r="AC340" s="149"/>
      <c r="AD340" s="149"/>
      <c r="AE340" s="149"/>
      <c r="AF340" s="149"/>
      <c r="AG340" s="149"/>
      <c r="AH340" s="149"/>
      <c r="AI340" s="149"/>
      <c r="AJ340" s="149"/>
      <c r="AK340" s="149"/>
      <c r="AL340" s="149"/>
      <c r="AM340" s="149"/>
      <c r="AN340" s="149"/>
      <c r="AO340" s="149"/>
      <c r="AP340" s="149"/>
      <c r="AQ340" s="149"/>
      <c r="AR340" s="149"/>
      <c r="AS340" s="149"/>
      <c r="AT340" s="149"/>
      <c r="AU340" s="149"/>
      <c r="AV340" s="149"/>
      <c r="AW340" s="149"/>
      <c r="AX340" s="149"/>
      <c r="AY340" s="149"/>
      <c r="AZ340" s="149"/>
      <c r="BA340" s="149"/>
      <c r="BB340" s="149"/>
      <c r="BC340" s="149"/>
      <c r="BD340" s="149"/>
      <c r="BE340" s="149"/>
      <c r="BF340" s="149"/>
      <c r="BG340" s="149"/>
      <c r="BH340" s="149"/>
      <c r="BI340" s="149"/>
      <c r="BJ340" s="149"/>
      <c r="BK340" s="149"/>
      <c r="BL340" s="79"/>
      <c r="BM340" s="149"/>
    </row>
    <row r="341" spans="2:65" x14ac:dyDescent="0.25">
      <c r="B341" s="149"/>
      <c r="C341" s="149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  <c r="W341" s="149"/>
      <c r="X341" s="149"/>
      <c r="Y341" s="149"/>
      <c r="Z341" s="149"/>
      <c r="AA341" s="149"/>
      <c r="AB341" s="149"/>
      <c r="AC341" s="149"/>
      <c r="AD341" s="149"/>
      <c r="AE341" s="149"/>
      <c r="AF341" s="149"/>
      <c r="AG341" s="149"/>
      <c r="AH341" s="149"/>
      <c r="AI341" s="149"/>
      <c r="AJ341" s="149"/>
      <c r="AK341" s="149"/>
      <c r="AL341" s="149"/>
      <c r="AM341" s="149"/>
      <c r="AN341" s="149"/>
      <c r="AO341" s="149"/>
      <c r="AP341" s="149"/>
      <c r="AQ341" s="149"/>
      <c r="AR341" s="149"/>
      <c r="AS341" s="149"/>
      <c r="AT341" s="149"/>
      <c r="AU341" s="149"/>
      <c r="AV341" s="149"/>
      <c r="AW341" s="149"/>
      <c r="AX341" s="149"/>
      <c r="AY341" s="149"/>
      <c r="AZ341" s="149"/>
      <c r="BA341" s="149"/>
      <c r="BB341" s="149"/>
      <c r="BC341" s="149"/>
      <c r="BD341" s="149"/>
      <c r="BE341" s="149"/>
      <c r="BF341" s="149"/>
      <c r="BG341" s="149"/>
      <c r="BH341" s="149"/>
      <c r="BI341" s="149"/>
      <c r="BJ341" s="149"/>
      <c r="BK341" s="149"/>
      <c r="BL341" s="79"/>
      <c r="BM341" s="149"/>
    </row>
    <row r="342" spans="2:65" x14ac:dyDescent="0.25">
      <c r="B342" s="149"/>
      <c r="C342" s="149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  <c r="Q342" s="149"/>
      <c r="R342" s="149"/>
      <c r="S342" s="149"/>
      <c r="T342" s="149"/>
      <c r="U342" s="149"/>
      <c r="V342" s="149"/>
      <c r="W342" s="149"/>
      <c r="X342" s="149"/>
      <c r="Y342" s="149"/>
      <c r="Z342" s="149"/>
      <c r="AA342" s="149"/>
      <c r="AB342" s="149"/>
      <c r="AC342" s="149"/>
      <c r="AD342" s="149"/>
      <c r="AE342" s="149"/>
      <c r="AF342" s="149"/>
      <c r="AG342" s="149"/>
      <c r="AH342" s="149"/>
      <c r="AI342" s="149"/>
      <c r="AJ342" s="149"/>
      <c r="AK342" s="149"/>
      <c r="AL342" s="149"/>
      <c r="AM342" s="149"/>
      <c r="AN342" s="149"/>
      <c r="AO342" s="149"/>
      <c r="AP342" s="149"/>
      <c r="AQ342" s="149"/>
      <c r="AR342" s="149"/>
      <c r="AS342" s="149"/>
      <c r="AT342" s="149"/>
      <c r="AU342" s="149"/>
      <c r="AV342" s="149"/>
      <c r="AW342" s="149"/>
      <c r="AX342" s="149"/>
      <c r="AY342" s="149"/>
      <c r="AZ342" s="149"/>
      <c r="BA342" s="149"/>
      <c r="BB342" s="149"/>
      <c r="BC342" s="149"/>
      <c r="BD342" s="149"/>
      <c r="BE342" s="149"/>
      <c r="BF342" s="149"/>
      <c r="BG342" s="149"/>
      <c r="BH342" s="149"/>
      <c r="BI342" s="149"/>
      <c r="BJ342" s="149"/>
      <c r="BK342" s="149"/>
      <c r="BL342" s="79"/>
      <c r="BM342" s="149"/>
    </row>
    <row r="343" spans="2:65" x14ac:dyDescent="0.25">
      <c r="B343" s="149"/>
      <c r="C343" s="149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  <c r="Q343" s="149"/>
      <c r="R343" s="149"/>
      <c r="S343" s="149"/>
      <c r="T343" s="149"/>
      <c r="U343" s="149"/>
      <c r="V343" s="149"/>
      <c r="W343" s="149"/>
      <c r="X343" s="149"/>
      <c r="Y343" s="149"/>
      <c r="Z343" s="149"/>
      <c r="AA343" s="149"/>
      <c r="AB343" s="149"/>
      <c r="AC343" s="149"/>
      <c r="AD343" s="149"/>
      <c r="AE343" s="149"/>
      <c r="AF343" s="149"/>
      <c r="AG343" s="149"/>
      <c r="AH343" s="149"/>
      <c r="AI343" s="149"/>
      <c r="AJ343" s="149"/>
      <c r="AK343" s="149"/>
      <c r="AL343" s="149"/>
      <c r="AM343" s="149"/>
      <c r="AN343" s="149"/>
      <c r="AO343" s="149"/>
      <c r="AP343" s="149"/>
      <c r="AQ343" s="149"/>
      <c r="AR343" s="149"/>
      <c r="AS343" s="149"/>
      <c r="AT343" s="149"/>
      <c r="AU343" s="149"/>
      <c r="AV343" s="149"/>
      <c r="AW343" s="149"/>
      <c r="AX343" s="149"/>
      <c r="AY343" s="149"/>
      <c r="AZ343" s="149"/>
      <c r="BA343" s="149"/>
      <c r="BB343" s="149"/>
      <c r="BC343" s="149"/>
      <c r="BD343" s="149"/>
      <c r="BE343" s="149"/>
      <c r="BF343" s="149"/>
      <c r="BG343" s="149"/>
      <c r="BH343" s="149"/>
      <c r="BI343" s="149"/>
      <c r="BJ343" s="149"/>
      <c r="BK343" s="149"/>
      <c r="BL343" s="79"/>
      <c r="BM343" s="149"/>
    </row>
    <row r="344" spans="2:65" x14ac:dyDescent="0.25">
      <c r="B344" s="149"/>
      <c r="C344" s="149"/>
      <c r="D344" s="149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  <c r="Q344" s="149"/>
      <c r="R344" s="149"/>
      <c r="S344" s="149"/>
      <c r="T344" s="149"/>
      <c r="U344" s="149"/>
      <c r="V344" s="149"/>
      <c r="W344" s="149"/>
      <c r="X344" s="149"/>
      <c r="Y344" s="149"/>
      <c r="Z344" s="149"/>
      <c r="AA344" s="149"/>
      <c r="AB344" s="149"/>
      <c r="AC344" s="149"/>
      <c r="AD344" s="149"/>
      <c r="AE344" s="149"/>
      <c r="AF344" s="149"/>
      <c r="AG344" s="149"/>
      <c r="AH344" s="149"/>
      <c r="AI344" s="149"/>
      <c r="AJ344" s="149"/>
      <c r="AK344" s="149"/>
      <c r="AL344" s="149"/>
      <c r="AM344" s="149"/>
      <c r="AN344" s="149"/>
      <c r="AO344" s="149"/>
      <c r="AP344" s="149"/>
      <c r="AQ344" s="149"/>
      <c r="AR344" s="149"/>
      <c r="AS344" s="149"/>
      <c r="AT344" s="149"/>
      <c r="AU344" s="149"/>
      <c r="AV344" s="149"/>
      <c r="AW344" s="149"/>
      <c r="AX344" s="149"/>
      <c r="AY344" s="149"/>
      <c r="AZ344" s="149"/>
      <c r="BA344" s="149"/>
      <c r="BB344" s="149"/>
      <c r="BC344" s="149"/>
      <c r="BD344" s="149"/>
      <c r="BE344" s="149"/>
      <c r="BF344" s="149"/>
      <c r="BG344" s="149"/>
      <c r="BH344" s="149"/>
      <c r="BI344" s="149"/>
      <c r="BJ344" s="149"/>
      <c r="BK344" s="149"/>
      <c r="BL344" s="79"/>
      <c r="BM344" s="149"/>
    </row>
    <row r="345" spans="2:65" x14ac:dyDescent="0.25">
      <c r="B345" s="149"/>
      <c r="C345" s="149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  <c r="W345" s="149"/>
      <c r="X345" s="149"/>
      <c r="Y345" s="149"/>
      <c r="Z345" s="149"/>
      <c r="AA345" s="149"/>
      <c r="AB345" s="149"/>
      <c r="AC345" s="149"/>
      <c r="AD345" s="149"/>
      <c r="AE345" s="149"/>
      <c r="AF345" s="149"/>
      <c r="AG345" s="149"/>
      <c r="AH345" s="149"/>
      <c r="AI345" s="149"/>
      <c r="AJ345" s="149"/>
      <c r="AK345" s="149"/>
      <c r="AL345" s="149"/>
      <c r="AM345" s="149"/>
      <c r="AN345" s="149"/>
      <c r="AO345" s="149"/>
      <c r="AP345" s="149"/>
      <c r="AQ345" s="149"/>
      <c r="AR345" s="149"/>
      <c r="AS345" s="149"/>
      <c r="AT345" s="149"/>
      <c r="AU345" s="149"/>
      <c r="AV345" s="149"/>
      <c r="AW345" s="149"/>
      <c r="AX345" s="149"/>
      <c r="AY345" s="149"/>
      <c r="AZ345" s="149"/>
      <c r="BA345" s="149"/>
      <c r="BB345" s="149"/>
      <c r="BC345" s="149"/>
      <c r="BD345" s="149"/>
      <c r="BE345" s="149"/>
      <c r="BF345" s="149"/>
      <c r="BG345" s="149"/>
      <c r="BH345" s="149"/>
      <c r="BI345" s="149"/>
      <c r="BJ345" s="149"/>
      <c r="BK345" s="149"/>
      <c r="BL345" s="79"/>
      <c r="BM345" s="149"/>
    </row>
    <row r="346" spans="2:65" x14ac:dyDescent="0.25">
      <c r="B346" s="149"/>
      <c r="C346" s="149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  <c r="Q346" s="149"/>
      <c r="R346" s="149"/>
      <c r="S346" s="149"/>
      <c r="T346" s="149"/>
      <c r="U346" s="149"/>
      <c r="V346" s="149"/>
      <c r="W346" s="149"/>
      <c r="X346" s="149"/>
      <c r="Y346" s="149"/>
      <c r="Z346" s="149"/>
      <c r="AA346" s="149"/>
      <c r="AB346" s="149"/>
      <c r="AC346" s="149"/>
      <c r="AD346" s="149"/>
      <c r="AE346" s="149"/>
      <c r="AF346" s="149"/>
      <c r="AG346" s="149"/>
      <c r="AH346" s="149"/>
      <c r="AI346" s="149"/>
      <c r="AJ346" s="149"/>
      <c r="AK346" s="149"/>
      <c r="AL346" s="149"/>
      <c r="AM346" s="149"/>
      <c r="AN346" s="149"/>
      <c r="AO346" s="149"/>
      <c r="AP346" s="149"/>
      <c r="AQ346" s="149"/>
      <c r="AR346" s="149"/>
      <c r="AS346" s="149"/>
      <c r="AT346" s="149"/>
      <c r="AU346" s="149"/>
      <c r="AV346" s="149"/>
      <c r="AW346" s="149"/>
      <c r="AX346" s="149"/>
      <c r="AY346" s="149"/>
      <c r="AZ346" s="149"/>
      <c r="BA346" s="149"/>
      <c r="BB346" s="149"/>
      <c r="BC346" s="149"/>
      <c r="BD346" s="149"/>
      <c r="BE346" s="149"/>
      <c r="BF346" s="149"/>
      <c r="BG346" s="149"/>
      <c r="BH346" s="149"/>
      <c r="BI346" s="149"/>
      <c r="BJ346" s="149"/>
      <c r="BK346" s="149"/>
      <c r="BL346" s="79"/>
      <c r="BM346" s="149"/>
    </row>
    <row r="347" spans="2:65" x14ac:dyDescent="0.25">
      <c r="B347" s="149"/>
      <c r="C347" s="149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  <c r="W347" s="149"/>
      <c r="X347" s="149"/>
      <c r="Y347" s="149"/>
      <c r="Z347" s="149"/>
      <c r="AA347" s="149"/>
      <c r="AB347" s="149"/>
      <c r="AC347" s="149"/>
      <c r="AD347" s="149"/>
      <c r="AE347" s="149"/>
      <c r="AF347" s="149"/>
      <c r="AG347" s="149"/>
      <c r="AH347" s="149"/>
      <c r="AI347" s="149"/>
      <c r="AJ347" s="149"/>
      <c r="AK347" s="149"/>
      <c r="AL347" s="149"/>
      <c r="AM347" s="149"/>
      <c r="AN347" s="149"/>
      <c r="AO347" s="149"/>
      <c r="AP347" s="149"/>
      <c r="AQ347" s="149"/>
      <c r="AR347" s="149"/>
      <c r="AS347" s="149"/>
      <c r="AT347" s="149"/>
      <c r="AU347" s="149"/>
      <c r="AV347" s="149"/>
      <c r="AW347" s="149"/>
      <c r="AX347" s="149"/>
      <c r="AY347" s="149"/>
      <c r="AZ347" s="149"/>
      <c r="BA347" s="149"/>
      <c r="BB347" s="149"/>
      <c r="BC347" s="149"/>
      <c r="BD347" s="149"/>
      <c r="BE347" s="149"/>
      <c r="BF347" s="149"/>
      <c r="BG347" s="149"/>
      <c r="BH347" s="149"/>
      <c r="BI347" s="149"/>
      <c r="BJ347" s="149"/>
      <c r="BK347" s="149"/>
      <c r="BL347" s="79"/>
      <c r="BM347" s="149"/>
    </row>
    <row r="348" spans="2:65" x14ac:dyDescent="0.25">
      <c r="B348" s="149"/>
      <c r="C348" s="149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  <c r="Z348" s="149"/>
      <c r="AA348" s="149"/>
      <c r="AB348" s="149"/>
      <c r="AC348" s="149"/>
      <c r="AD348" s="149"/>
      <c r="AE348" s="149"/>
      <c r="AF348" s="149"/>
      <c r="AG348" s="149"/>
      <c r="AH348" s="149"/>
      <c r="AI348" s="149"/>
      <c r="AJ348" s="149"/>
      <c r="AK348" s="149"/>
      <c r="AL348" s="149"/>
      <c r="AM348" s="149"/>
      <c r="AN348" s="149"/>
      <c r="AO348" s="149"/>
      <c r="AP348" s="149"/>
      <c r="AQ348" s="149"/>
      <c r="AR348" s="149"/>
      <c r="AS348" s="149"/>
      <c r="AT348" s="149"/>
      <c r="AU348" s="149"/>
      <c r="AV348" s="149"/>
      <c r="AW348" s="149"/>
      <c r="AX348" s="149"/>
      <c r="AY348" s="149"/>
      <c r="AZ348" s="149"/>
      <c r="BA348" s="149"/>
      <c r="BB348" s="149"/>
      <c r="BC348" s="149"/>
      <c r="BD348" s="149"/>
      <c r="BE348" s="149"/>
      <c r="BF348" s="149"/>
      <c r="BG348" s="149"/>
      <c r="BH348" s="149"/>
      <c r="BI348" s="149"/>
      <c r="BJ348" s="149"/>
      <c r="BK348" s="149"/>
      <c r="BL348" s="79"/>
      <c r="BM348" s="149"/>
    </row>
    <row r="349" spans="2:65" x14ac:dyDescent="0.25">
      <c r="B349" s="149"/>
      <c r="C349" s="149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49"/>
      <c r="Z349" s="149"/>
      <c r="AA349" s="149"/>
      <c r="AB349" s="149"/>
      <c r="AC349" s="149"/>
      <c r="AD349" s="149"/>
      <c r="AE349" s="149"/>
      <c r="AF349" s="149"/>
      <c r="AG349" s="149"/>
      <c r="AH349" s="149"/>
      <c r="AI349" s="149"/>
      <c r="AJ349" s="149"/>
      <c r="AK349" s="149"/>
      <c r="AL349" s="149"/>
      <c r="AM349" s="149"/>
      <c r="AN349" s="149"/>
      <c r="AO349" s="149"/>
      <c r="AP349" s="149"/>
      <c r="AQ349" s="149"/>
      <c r="AR349" s="149"/>
      <c r="AS349" s="149"/>
      <c r="AT349" s="149"/>
      <c r="AU349" s="149"/>
      <c r="AV349" s="149"/>
      <c r="AW349" s="149"/>
      <c r="AX349" s="149"/>
      <c r="AY349" s="149"/>
      <c r="AZ349" s="149"/>
      <c r="BA349" s="149"/>
      <c r="BB349" s="149"/>
      <c r="BC349" s="149"/>
      <c r="BD349" s="149"/>
      <c r="BE349" s="149"/>
      <c r="BF349" s="149"/>
      <c r="BG349" s="149"/>
      <c r="BH349" s="149"/>
      <c r="BI349" s="149"/>
      <c r="BJ349" s="149"/>
      <c r="BK349" s="149"/>
      <c r="BL349" s="79"/>
      <c r="BM349" s="149"/>
    </row>
    <row r="350" spans="2:65" x14ac:dyDescent="0.25">
      <c r="B350" s="149"/>
      <c r="C350" s="149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  <c r="AA350" s="149"/>
      <c r="AB350" s="149"/>
      <c r="AC350" s="149"/>
      <c r="AD350" s="149"/>
      <c r="AE350" s="149"/>
      <c r="AF350" s="149"/>
      <c r="AG350" s="149"/>
      <c r="AH350" s="149"/>
      <c r="AI350" s="149"/>
      <c r="AJ350" s="149"/>
      <c r="AK350" s="149"/>
      <c r="AL350" s="149"/>
      <c r="AM350" s="149"/>
      <c r="AN350" s="149"/>
      <c r="AO350" s="149"/>
      <c r="AP350" s="149"/>
      <c r="AQ350" s="149"/>
      <c r="AR350" s="149"/>
      <c r="AS350" s="149"/>
      <c r="AT350" s="149"/>
      <c r="AU350" s="149"/>
      <c r="AV350" s="149"/>
      <c r="AW350" s="149"/>
      <c r="AX350" s="149"/>
      <c r="AY350" s="149"/>
      <c r="AZ350" s="149"/>
      <c r="BA350" s="149"/>
      <c r="BB350" s="149"/>
      <c r="BC350" s="149"/>
      <c r="BD350" s="149"/>
      <c r="BE350" s="149"/>
      <c r="BF350" s="149"/>
      <c r="BG350" s="149"/>
      <c r="BH350" s="149"/>
      <c r="BI350" s="149"/>
      <c r="BJ350" s="149"/>
      <c r="BK350" s="149"/>
      <c r="BL350" s="79"/>
      <c r="BM350" s="149"/>
    </row>
    <row r="351" spans="2:65" x14ac:dyDescent="0.25">
      <c r="B351" s="149"/>
      <c r="C351" s="149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  <c r="Y351" s="149"/>
      <c r="Z351" s="149"/>
      <c r="AA351" s="149"/>
      <c r="AB351" s="149"/>
      <c r="AC351" s="149"/>
      <c r="AD351" s="149"/>
      <c r="AE351" s="149"/>
      <c r="AF351" s="149"/>
      <c r="AG351" s="149"/>
      <c r="AH351" s="149"/>
      <c r="AI351" s="149"/>
      <c r="AJ351" s="149"/>
      <c r="AK351" s="149"/>
      <c r="AL351" s="149"/>
      <c r="AM351" s="149"/>
      <c r="AN351" s="149"/>
      <c r="AO351" s="149"/>
      <c r="AP351" s="149"/>
      <c r="AQ351" s="149"/>
      <c r="AR351" s="149"/>
      <c r="AS351" s="149"/>
      <c r="AT351" s="149"/>
      <c r="AU351" s="149"/>
      <c r="AV351" s="149"/>
      <c r="AW351" s="149"/>
      <c r="AX351" s="149"/>
      <c r="AY351" s="149"/>
      <c r="AZ351" s="149"/>
      <c r="BA351" s="149"/>
      <c r="BB351" s="149"/>
      <c r="BC351" s="149"/>
      <c r="BD351" s="149"/>
      <c r="BE351" s="149"/>
      <c r="BF351" s="149"/>
      <c r="BG351" s="149"/>
      <c r="BH351" s="149"/>
      <c r="BI351" s="149"/>
      <c r="BJ351" s="149"/>
      <c r="BK351" s="149"/>
      <c r="BL351" s="79"/>
      <c r="BM351" s="149"/>
    </row>
    <row r="352" spans="2:65" x14ac:dyDescent="0.25">
      <c r="B352" s="149"/>
      <c r="C352" s="149"/>
      <c r="D352" s="149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  <c r="Y352" s="149"/>
      <c r="Z352" s="149"/>
      <c r="AA352" s="149"/>
      <c r="AB352" s="149"/>
      <c r="AC352" s="149"/>
      <c r="AD352" s="149"/>
      <c r="AE352" s="149"/>
      <c r="AF352" s="149"/>
      <c r="AG352" s="149"/>
      <c r="AH352" s="149"/>
      <c r="AI352" s="149"/>
      <c r="AJ352" s="149"/>
      <c r="AK352" s="149"/>
      <c r="AL352" s="149"/>
      <c r="AM352" s="149"/>
      <c r="AN352" s="149"/>
      <c r="AO352" s="149"/>
      <c r="AP352" s="149"/>
      <c r="AQ352" s="149"/>
      <c r="AR352" s="149"/>
      <c r="AS352" s="149"/>
      <c r="AT352" s="149"/>
      <c r="AU352" s="149"/>
      <c r="AV352" s="149"/>
      <c r="AW352" s="149"/>
      <c r="AX352" s="149"/>
      <c r="AY352" s="149"/>
      <c r="AZ352" s="149"/>
      <c r="BA352" s="149"/>
      <c r="BB352" s="149"/>
      <c r="BC352" s="149"/>
      <c r="BD352" s="149"/>
      <c r="BE352" s="149"/>
      <c r="BF352" s="149"/>
      <c r="BG352" s="149"/>
      <c r="BH352" s="149"/>
      <c r="BI352" s="149"/>
      <c r="BJ352" s="149"/>
      <c r="BK352" s="149"/>
      <c r="BL352" s="79"/>
      <c r="BM352" s="149"/>
    </row>
    <row r="353" spans="2:65" x14ac:dyDescent="0.25">
      <c r="B353" s="149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/>
      <c r="Z353" s="149"/>
      <c r="AA353" s="149"/>
      <c r="AB353" s="149"/>
      <c r="AC353" s="149"/>
      <c r="AD353" s="149"/>
      <c r="AE353" s="149"/>
      <c r="AF353" s="149"/>
      <c r="AG353" s="149"/>
      <c r="AH353" s="149"/>
      <c r="AI353" s="149"/>
      <c r="AJ353" s="149"/>
      <c r="AK353" s="149"/>
      <c r="AL353" s="149"/>
      <c r="AM353" s="149"/>
      <c r="AN353" s="149"/>
      <c r="AO353" s="149"/>
      <c r="AP353" s="149"/>
      <c r="AQ353" s="149"/>
      <c r="AR353" s="149"/>
      <c r="AS353" s="149"/>
      <c r="AT353" s="149"/>
      <c r="AU353" s="149"/>
      <c r="AV353" s="149"/>
      <c r="AW353" s="149"/>
      <c r="AX353" s="149"/>
      <c r="AY353" s="149"/>
      <c r="AZ353" s="149"/>
      <c r="BA353" s="149"/>
      <c r="BB353" s="149"/>
      <c r="BC353" s="149"/>
      <c r="BD353" s="149"/>
      <c r="BE353" s="149"/>
      <c r="BF353" s="149"/>
      <c r="BG353" s="149"/>
      <c r="BH353" s="149"/>
      <c r="BI353" s="149"/>
      <c r="BJ353" s="149"/>
      <c r="BK353" s="149"/>
      <c r="BL353" s="79"/>
      <c r="BM353" s="149"/>
    </row>
    <row r="354" spans="2:65" x14ac:dyDescent="0.25">
      <c r="B354" s="149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  <c r="Y354" s="149"/>
      <c r="Z354" s="149"/>
      <c r="AA354" s="149"/>
      <c r="AB354" s="149"/>
      <c r="AC354" s="149"/>
      <c r="AD354" s="149"/>
      <c r="AE354" s="149"/>
      <c r="AF354" s="149"/>
      <c r="AG354" s="149"/>
      <c r="AH354" s="149"/>
      <c r="AI354" s="149"/>
      <c r="AJ354" s="149"/>
      <c r="AK354" s="149"/>
      <c r="AL354" s="149"/>
      <c r="AM354" s="149"/>
      <c r="AN354" s="149"/>
      <c r="AO354" s="149"/>
      <c r="AP354" s="149"/>
      <c r="AQ354" s="149"/>
      <c r="AR354" s="149"/>
      <c r="AS354" s="149"/>
      <c r="AT354" s="149"/>
      <c r="AU354" s="149"/>
      <c r="AV354" s="149"/>
      <c r="AW354" s="149"/>
      <c r="AX354" s="149"/>
      <c r="AY354" s="149"/>
      <c r="AZ354" s="149"/>
      <c r="BA354" s="149"/>
      <c r="BB354" s="149"/>
      <c r="BC354" s="149"/>
      <c r="BD354" s="149"/>
      <c r="BE354" s="149"/>
      <c r="BF354" s="149"/>
      <c r="BG354" s="149"/>
      <c r="BH354" s="149"/>
      <c r="BI354" s="149"/>
      <c r="BJ354" s="149"/>
      <c r="BK354" s="149"/>
      <c r="BL354" s="79"/>
      <c r="BM354" s="149"/>
    </row>
    <row r="355" spans="2:65" x14ac:dyDescent="0.25">
      <c r="B355" s="149"/>
      <c r="C355" s="149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49"/>
      <c r="U355" s="149"/>
      <c r="V355" s="149"/>
      <c r="W355" s="149"/>
      <c r="X355" s="149"/>
      <c r="Y355" s="149"/>
      <c r="Z355" s="149"/>
      <c r="AA355" s="149"/>
      <c r="AB355" s="149"/>
      <c r="AC355" s="149"/>
      <c r="AD355" s="149"/>
      <c r="AE355" s="149"/>
      <c r="AF355" s="149"/>
      <c r="AG355" s="149"/>
      <c r="AH355" s="149"/>
      <c r="AI355" s="149"/>
      <c r="AJ355" s="149"/>
      <c r="AK355" s="149"/>
      <c r="AL355" s="149"/>
      <c r="AM355" s="149"/>
      <c r="AN355" s="149"/>
      <c r="AO355" s="149"/>
      <c r="AP355" s="149"/>
      <c r="AQ355" s="149"/>
      <c r="AR355" s="149"/>
      <c r="AS355" s="149"/>
      <c r="AT355" s="149"/>
      <c r="AU355" s="149"/>
      <c r="AV355" s="149"/>
      <c r="AW355" s="149"/>
      <c r="AX355" s="149"/>
      <c r="AY355" s="149"/>
      <c r="AZ355" s="149"/>
      <c r="BA355" s="149"/>
      <c r="BB355" s="149"/>
      <c r="BC355" s="149"/>
      <c r="BD355" s="149"/>
      <c r="BE355" s="149"/>
      <c r="BF355" s="149"/>
      <c r="BG355" s="149"/>
      <c r="BH355" s="149"/>
      <c r="BI355" s="149"/>
      <c r="BJ355" s="149"/>
      <c r="BK355" s="149"/>
      <c r="BL355" s="79"/>
      <c r="BM355" s="149"/>
    </row>
    <row r="356" spans="2:65" x14ac:dyDescent="0.25">
      <c r="B356" s="149"/>
      <c r="C356" s="149"/>
      <c r="D356" s="149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49"/>
      <c r="U356" s="149"/>
      <c r="V356" s="149"/>
      <c r="W356" s="149"/>
      <c r="X356" s="149"/>
      <c r="Y356" s="149"/>
      <c r="Z356" s="149"/>
      <c r="AA356" s="149"/>
      <c r="AB356" s="149"/>
      <c r="AC356" s="149"/>
      <c r="AD356" s="149"/>
      <c r="AE356" s="149"/>
      <c r="AF356" s="149"/>
      <c r="AG356" s="149"/>
      <c r="AH356" s="149"/>
      <c r="AI356" s="149"/>
      <c r="AJ356" s="149"/>
      <c r="AK356" s="149"/>
      <c r="AL356" s="149"/>
      <c r="AM356" s="149"/>
      <c r="AN356" s="149"/>
      <c r="AO356" s="149"/>
      <c r="AP356" s="149"/>
      <c r="AQ356" s="149"/>
      <c r="AR356" s="149"/>
      <c r="AS356" s="149"/>
      <c r="AT356" s="149"/>
      <c r="AU356" s="149"/>
      <c r="AV356" s="149"/>
      <c r="AW356" s="149"/>
      <c r="AX356" s="149"/>
      <c r="AY356" s="149"/>
      <c r="AZ356" s="149"/>
      <c r="BA356" s="149"/>
      <c r="BB356" s="149"/>
      <c r="BC356" s="149"/>
      <c r="BD356" s="149"/>
      <c r="BE356" s="149"/>
      <c r="BF356" s="149"/>
      <c r="BG356" s="149"/>
      <c r="BH356" s="149"/>
      <c r="BI356" s="149"/>
      <c r="BJ356" s="149"/>
      <c r="BK356" s="149"/>
      <c r="BL356" s="79"/>
      <c r="BM356" s="149"/>
    </row>
    <row r="357" spans="2:65" x14ac:dyDescent="0.25">
      <c r="B357" s="149"/>
      <c r="C357" s="149"/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  <c r="R357" s="149"/>
      <c r="S357" s="149"/>
      <c r="T357" s="149"/>
      <c r="U357" s="149"/>
      <c r="V357" s="149"/>
      <c r="W357" s="149"/>
      <c r="X357" s="149"/>
      <c r="Y357" s="149"/>
      <c r="Z357" s="149"/>
      <c r="AA357" s="149"/>
      <c r="AB357" s="149"/>
      <c r="AC357" s="149"/>
      <c r="AD357" s="149"/>
      <c r="AE357" s="149"/>
      <c r="AF357" s="149"/>
      <c r="AG357" s="149"/>
      <c r="AH357" s="149"/>
      <c r="AI357" s="149"/>
      <c r="AJ357" s="149"/>
      <c r="AK357" s="149"/>
      <c r="AL357" s="149"/>
      <c r="AM357" s="149"/>
      <c r="AN357" s="149"/>
      <c r="AO357" s="149"/>
      <c r="AP357" s="149"/>
      <c r="AQ357" s="149"/>
      <c r="AR357" s="149"/>
      <c r="AS357" s="149"/>
      <c r="AT357" s="149"/>
      <c r="AU357" s="149"/>
      <c r="AV357" s="149"/>
      <c r="AW357" s="149"/>
      <c r="AX357" s="149"/>
      <c r="AY357" s="149"/>
      <c r="AZ357" s="149"/>
      <c r="BA357" s="149"/>
      <c r="BB357" s="149"/>
      <c r="BC357" s="149"/>
      <c r="BD357" s="149"/>
      <c r="BE357" s="149"/>
      <c r="BF357" s="149"/>
      <c r="BG357" s="149"/>
      <c r="BH357" s="149"/>
      <c r="BI357" s="149"/>
      <c r="BJ357" s="149"/>
      <c r="BK357" s="149"/>
      <c r="BL357" s="79"/>
      <c r="BM357" s="149"/>
    </row>
    <row r="358" spans="2:65" x14ac:dyDescent="0.25">
      <c r="B358" s="149"/>
      <c r="C358" s="149"/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49"/>
      <c r="U358" s="149"/>
      <c r="V358" s="149"/>
      <c r="W358" s="149"/>
      <c r="X358" s="149"/>
      <c r="Y358" s="149"/>
      <c r="Z358" s="149"/>
      <c r="AA358" s="149"/>
      <c r="AB358" s="149"/>
      <c r="AC358" s="149"/>
      <c r="AD358" s="149"/>
      <c r="AE358" s="149"/>
      <c r="AF358" s="149"/>
      <c r="AG358" s="149"/>
      <c r="AH358" s="149"/>
      <c r="AI358" s="149"/>
      <c r="AJ358" s="149"/>
      <c r="AK358" s="149"/>
      <c r="AL358" s="149"/>
      <c r="AM358" s="149"/>
      <c r="AN358" s="149"/>
      <c r="AO358" s="149"/>
      <c r="AP358" s="149"/>
      <c r="AQ358" s="149"/>
      <c r="AR358" s="149"/>
      <c r="AS358" s="149"/>
      <c r="AT358" s="149"/>
      <c r="AU358" s="149"/>
      <c r="AV358" s="149"/>
      <c r="AW358" s="149"/>
      <c r="AX358" s="149"/>
      <c r="AY358" s="149"/>
      <c r="AZ358" s="149"/>
      <c r="BA358" s="149"/>
      <c r="BB358" s="149"/>
      <c r="BC358" s="149"/>
      <c r="BD358" s="149"/>
      <c r="BE358" s="149"/>
      <c r="BF358" s="149"/>
      <c r="BG358" s="149"/>
      <c r="BH358" s="149"/>
      <c r="BI358" s="149"/>
      <c r="BJ358" s="149"/>
      <c r="BK358" s="149"/>
      <c r="BL358" s="79"/>
      <c r="BM358" s="149"/>
    </row>
    <row r="359" spans="2:65" x14ac:dyDescent="0.25">
      <c r="B359" s="149"/>
      <c r="C359" s="149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  <c r="R359" s="149"/>
      <c r="S359" s="149"/>
      <c r="T359" s="149"/>
      <c r="U359" s="149"/>
      <c r="V359" s="149"/>
      <c r="W359" s="149"/>
      <c r="X359" s="149"/>
      <c r="Y359" s="149"/>
      <c r="Z359" s="149"/>
      <c r="AA359" s="149"/>
      <c r="AB359" s="149"/>
      <c r="AC359" s="149"/>
      <c r="AD359" s="149"/>
      <c r="AE359" s="149"/>
      <c r="AF359" s="149"/>
      <c r="AG359" s="149"/>
      <c r="AH359" s="149"/>
      <c r="AI359" s="149"/>
      <c r="AJ359" s="149"/>
      <c r="AK359" s="149"/>
      <c r="AL359" s="149"/>
      <c r="AM359" s="149"/>
      <c r="AN359" s="149"/>
      <c r="AO359" s="149"/>
      <c r="AP359" s="149"/>
      <c r="AQ359" s="149"/>
      <c r="AR359" s="149"/>
      <c r="AS359" s="149"/>
      <c r="AT359" s="149"/>
      <c r="AU359" s="149"/>
      <c r="AV359" s="149"/>
      <c r="AW359" s="149"/>
      <c r="AX359" s="149"/>
      <c r="AY359" s="149"/>
      <c r="AZ359" s="149"/>
      <c r="BA359" s="149"/>
      <c r="BB359" s="149"/>
      <c r="BC359" s="149"/>
      <c r="BD359" s="149"/>
      <c r="BE359" s="149"/>
      <c r="BF359" s="149"/>
      <c r="BG359" s="149"/>
      <c r="BH359" s="149"/>
      <c r="BI359" s="149"/>
      <c r="BJ359" s="149"/>
      <c r="BK359" s="149"/>
      <c r="BL359" s="79"/>
      <c r="BM359" s="149"/>
    </row>
    <row r="360" spans="2:65" x14ac:dyDescent="0.25">
      <c r="B360" s="149"/>
      <c r="C360" s="149"/>
      <c r="D360" s="149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  <c r="R360" s="149"/>
      <c r="S360" s="149"/>
      <c r="T360" s="149"/>
      <c r="U360" s="149"/>
      <c r="V360" s="149"/>
      <c r="W360" s="149"/>
      <c r="X360" s="149"/>
      <c r="Y360" s="149"/>
      <c r="Z360" s="149"/>
      <c r="AA360" s="149"/>
      <c r="AB360" s="149"/>
      <c r="AC360" s="149"/>
      <c r="AD360" s="149"/>
      <c r="AE360" s="149"/>
      <c r="AF360" s="149"/>
      <c r="AG360" s="149"/>
      <c r="AH360" s="149"/>
      <c r="AI360" s="149"/>
      <c r="AJ360" s="149"/>
      <c r="AK360" s="149"/>
      <c r="AL360" s="149"/>
      <c r="AM360" s="149"/>
      <c r="AN360" s="149"/>
      <c r="AO360" s="149"/>
      <c r="AP360" s="149"/>
      <c r="AQ360" s="149"/>
      <c r="AR360" s="149"/>
      <c r="AS360" s="149"/>
      <c r="AT360" s="149"/>
      <c r="AU360" s="149"/>
      <c r="AV360" s="149"/>
      <c r="AW360" s="149"/>
      <c r="AX360" s="149"/>
      <c r="AY360" s="149"/>
      <c r="AZ360" s="149"/>
      <c r="BA360" s="149"/>
      <c r="BB360" s="149"/>
      <c r="BC360" s="149"/>
      <c r="BD360" s="149"/>
      <c r="BE360" s="149"/>
      <c r="BF360" s="149"/>
      <c r="BG360" s="149"/>
      <c r="BH360" s="149"/>
      <c r="BI360" s="149"/>
      <c r="BJ360" s="149"/>
      <c r="BK360" s="149"/>
      <c r="BL360" s="79"/>
      <c r="BM360" s="149"/>
    </row>
    <row r="361" spans="2:65" x14ac:dyDescent="0.25">
      <c r="B361" s="149"/>
      <c r="C361" s="149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49"/>
      <c r="U361" s="149"/>
      <c r="V361" s="149"/>
      <c r="W361" s="149"/>
      <c r="X361" s="149"/>
      <c r="Y361" s="149"/>
      <c r="Z361" s="149"/>
      <c r="AA361" s="149"/>
      <c r="AB361" s="149"/>
      <c r="AC361" s="149"/>
      <c r="AD361" s="149"/>
      <c r="AE361" s="149"/>
      <c r="AF361" s="149"/>
      <c r="AG361" s="149"/>
      <c r="AH361" s="149"/>
      <c r="AI361" s="149"/>
      <c r="AJ361" s="149"/>
      <c r="AK361" s="149"/>
      <c r="AL361" s="149"/>
      <c r="AM361" s="149"/>
      <c r="AN361" s="149"/>
      <c r="AO361" s="149"/>
      <c r="AP361" s="149"/>
      <c r="AQ361" s="149"/>
      <c r="AR361" s="149"/>
      <c r="AS361" s="149"/>
      <c r="AT361" s="149"/>
      <c r="AU361" s="149"/>
      <c r="AV361" s="149"/>
      <c r="AW361" s="149"/>
      <c r="AX361" s="149"/>
      <c r="AY361" s="149"/>
      <c r="AZ361" s="149"/>
      <c r="BA361" s="149"/>
      <c r="BB361" s="149"/>
      <c r="BC361" s="149"/>
      <c r="BD361" s="149"/>
      <c r="BE361" s="149"/>
      <c r="BF361" s="149"/>
      <c r="BG361" s="149"/>
      <c r="BH361" s="149"/>
      <c r="BI361" s="149"/>
      <c r="BJ361" s="149"/>
      <c r="BK361" s="149"/>
      <c r="BL361" s="79"/>
      <c r="BM361" s="149"/>
    </row>
    <row r="362" spans="2:65" x14ac:dyDescent="0.25">
      <c r="B362" s="149"/>
      <c r="C362" s="149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49"/>
      <c r="U362" s="149"/>
      <c r="V362" s="149"/>
      <c r="W362" s="149"/>
      <c r="X362" s="149"/>
      <c r="Y362" s="149"/>
      <c r="Z362" s="149"/>
      <c r="AA362" s="149"/>
      <c r="AB362" s="149"/>
      <c r="AC362" s="149"/>
      <c r="AD362" s="149"/>
      <c r="AE362" s="149"/>
      <c r="AF362" s="149"/>
      <c r="AG362" s="149"/>
      <c r="AH362" s="149"/>
      <c r="AI362" s="149"/>
      <c r="AJ362" s="149"/>
      <c r="AK362" s="149"/>
      <c r="AL362" s="149"/>
      <c r="AM362" s="149"/>
      <c r="AN362" s="149"/>
      <c r="AO362" s="149"/>
      <c r="AP362" s="149"/>
      <c r="AQ362" s="149"/>
      <c r="AR362" s="149"/>
      <c r="AS362" s="149"/>
      <c r="AT362" s="149"/>
      <c r="AU362" s="149"/>
      <c r="AV362" s="149"/>
      <c r="AW362" s="149"/>
      <c r="AX362" s="149"/>
      <c r="AY362" s="149"/>
      <c r="AZ362" s="149"/>
      <c r="BA362" s="149"/>
      <c r="BB362" s="149"/>
      <c r="BC362" s="149"/>
      <c r="BD362" s="149"/>
      <c r="BE362" s="149"/>
      <c r="BF362" s="149"/>
      <c r="BG362" s="149"/>
      <c r="BH362" s="149"/>
      <c r="BI362" s="149"/>
      <c r="BJ362" s="149"/>
      <c r="BK362" s="149"/>
      <c r="BL362" s="79"/>
      <c r="BM362" s="149"/>
    </row>
    <row r="363" spans="2:65" x14ac:dyDescent="0.25">
      <c r="B363" s="149"/>
      <c r="C363" s="149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49"/>
      <c r="U363" s="149"/>
      <c r="V363" s="149"/>
      <c r="W363" s="149"/>
      <c r="X363" s="149"/>
      <c r="Y363" s="149"/>
      <c r="Z363" s="149"/>
      <c r="AA363" s="149"/>
      <c r="AB363" s="149"/>
      <c r="AC363" s="149"/>
      <c r="AD363" s="149"/>
      <c r="AE363" s="149"/>
      <c r="AF363" s="149"/>
      <c r="AG363" s="149"/>
      <c r="AH363" s="149"/>
      <c r="AI363" s="149"/>
      <c r="AJ363" s="149"/>
      <c r="AK363" s="149"/>
      <c r="AL363" s="149"/>
      <c r="AM363" s="149"/>
      <c r="AN363" s="149"/>
      <c r="AO363" s="149"/>
      <c r="AP363" s="149"/>
      <c r="AQ363" s="149"/>
      <c r="AR363" s="149"/>
      <c r="AS363" s="149"/>
      <c r="AT363" s="149"/>
      <c r="AU363" s="149"/>
      <c r="AV363" s="149"/>
      <c r="AW363" s="149"/>
      <c r="AX363" s="149"/>
      <c r="AY363" s="149"/>
      <c r="AZ363" s="149"/>
      <c r="BA363" s="149"/>
      <c r="BB363" s="149"/>
      <c r="BC363" s="149"/>
      <c r="BD363" s="149"/>
      <c r="BE363" s="149"/>
      <c r="BF363" s="149"/>
      <c r="BG363" s="149"/>
      <c r="BH363" s="149"/>
      <c r="BI363" s="149"/>
      <c r="BJ363" s="149"/>
      <c r="BK363" s="149"/>
      <c r="BL363" s="79"/>
      <c r="BM363" s="149"/>
    </row>
    <row r="364" spans="2:65" x14ac:dyDescent="0.25">
      <c r="B364" s="149"/>
      <c r="C364" s="149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49"/>
      <c r="U364" s="149"/>
      <c r="V364" s="149"/>
      <c r="W364" s="149"/>
      <c r="X364" s="149"/>
      <c r="Y364" s="149"/>
      <c r="Z364" s="149"/>
      <c r="AA364" s="149"/>
      <c r="AB364" s="149"/>
      <c r="AC364" s="149"/>
      <c r="AD364" s="149"/>
      <c r="AE364" s="149"/>
      <c r="AF364" s="149"/>
      <c r="AG364" s="149"/>
      <c r="AH364" s="149"/>
      <c r="AI364" s="149"/>
      <c r="AJ364" s="149"/>
      <c r="AK364" s="149"/>
      <c r="AL364" s="149"/>
      <c r="AM364" s="149"/>
      <c r="AN364" s="149"/>
      <c r="AO364" s="149"/>
      <c r="AP364" s="149"/>
      <c r="AQ364" s="149"/>
      <c r="AR364" s="149"/>
      <c r="AS364" s="149"/>
      <c r="AT364" s="149"/>
      <c r="AU364" s="149"/>
      <c r="AV364" s="149"/>
      <c r="AW364" s="149"/>
      <c r="AX364" s="149"/>
      <c r="AY364" s="149"/>
      <c r="AZ364" s="149"/>
      <c r="BA364" s="149"/>
      <c r="BB364" s="149"/>
      <c r="BC364" s="149"/>
      <c r="BD364" s="149"/>
      <c r="BE364" s="149"/>
      <c r="BF364" s="149"/>
      <c r="BG364" s="149"/>
      <c r="BH364" s="149"/>
      <c r="BI364" s="149"/>
      <c r="BJ364" s="149"/>
      <c r="BK364" s="149"/>
      <c r="BL364" s="79"/>
      <c r="BM364" s="149"/>
    </row>
    <row r="365" spans="2:65" x14ac:dyDescent="0.25">
      <c r="B365" s="149"/>
      <c r="C365" s="149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49"/>
      <c r="U365" s="149"/>
      <c r="V365" s="149"/>
      <c r="W365" s="149"/>
      <c r="X365" s="149"/>
      <c r="Y365" s="149"/>
      <c r="Z365" s="149"/>
      <c r="AA365" s="149"/>
      <c r="AB365" s="149"/>
      <c r="AC365" s="149"/>
      <c r="AD365" s="149"/>
      <c r="AE365" s="149"/>
      <c r="AF365" s="149"/>
      <c r="AG365" s="149"/>
      <c r="AH365" s="149"/>
      <c r="AI365" s="149"/>
      <c r="AJ365" s="149"/>
      <c r="AK365" s="149"/>
      <c r="AL365" s="149"/>
      <c r="AM365" s="149"/>
      <c r="AN365" s="149"/>
      <c r="AO365" s="149"/>
      <c r="AP365" s="149"/>
      <c r="AQ365" s="149"/>
      <c r="AR365" s="149"/>
      <c r="AS365" s="149"/>
      <c r="AT365" s="149"/>
      <c r="AU365" s="149"/>
      <c r="AV365" s="149"/>
      <c r="AW365" s="149"/>
      <c r="AX365" s="149"/>
      <c r="AY365" s="149"/>
      <c r="AZ365" s="149"/>
      <c r="BA365" s="149"/>
      <c r="BB365" s="149"/>
      <c r="BC365" s="149"/>
      <c r="BD365" s="149"/>
      <c r="BE365" s="149"/>
      <c r="BF365" s="149"/>
      <c r="BG365" s="149"/>
      <c r="BH365" s="149"/>
      <c r="BI365" s="149"/>
      <c r="BJ365" s="149"/>
      <c r="BK365" s="149"/>
      <c r="BL365" s="79"/>
      <c r="BM365" s="149"/>
    </row>
  </sheetData>
  <mergeCells count="55">
    <mergeCell ref="BG11:BG13"/>
    <mergeCell ref="BI11:BI13"/>
    <mergeCell ref="BJ11:BJ13"/>
    <mergeCell ref="BK11:BK13"/>
    <mergeCell ref="I12:J12"/>
    <mergeCell ref="K12:L12"/>
    <mergeCell ref="M12:M13"/>
    <mergeCell ref="N12:O12"/>
    <mergeCell ref="BE11:BE13"/>
    <mergeCell ref="BF11:BF13"/>
    <mergeCell ref="R11:S12"/>
    <mergeCell ref="AQ11:AQ13"/>
    <mergeCell ref="AX11:AX13"/>
    <mergeCell ref="AM11:AM13"/>
    <mergeCell ref="AN11:AN13"/>
    <mergeCell ref="AO11:AO13"/>
    <mergeCell ref="BD11:BD13"/>
    <mergeCell ref="AY11:AY13"/>
    <mergeCell ref="AH11:AL12"/>
    <mergeCell ref="Z11:Z13"/>
    <mergeCell ref="T11:U12"/>
    <mergeCell ref="V11:W12"/>
    <mergeCell ref="AP11:AP13"/>
    <mergeCell ref="X11:X13"/>
    <mergeCell ref="AV11:AV13"/>
    <mergeCell ref="AW11:AW13"/>
    <mergeCell ref="AR11:AR13"/>
    <mergeCell ref="AU11:AU13"/>
    <mergeCell ref="AD11:AD13"/>
    <mergeCell ref="BA11:BA13"/>
    <mergeCell ref="BB11:BB13"/>
    <mergeCell ref="BC11:BC13"/>
    <mergeCell ref="A11:A13"/>
    <mergeCell ref="B11:B13"/>
    <mergeCell ref="C11:C13"/>
    <mergeCell ref="F11:F13"/>
    <mergeCell ref="G11:Q11"/>
    <mergeCell ref="D11:D13"/>
    <mergeCell ref="E11:E13"/>
    <mergeCell ref="BF1:BK1"/>
    <mergeCell ref="BF2:BK2"/>
    <mergeCell ref="AA11:AA13"/>
    <mergeCell ref="AB11:AB13"/>
    <mergeCell ref="AG11:AG13"/>
    <mergeCell ref="AS11:AS13"/>
    <mergeCell ref="AT11:AT13"/>
    <mergeCell ref="AC10:AQ10"/>
    <mergeCell ref="Q9:BB9"/>
    <mergeCell ref="Y11:Y13"/>
    <mergeCell ref="AC11:AC13"/>
    <mergeCell ref="AE11:AE13"/>
    <mergeCell ref="AF11:AF13"/>
    <mergeCell ref="P12:Q12"/>
    <mergeCell ref="BH11:BH13"/>
    <mergeCell ref="AZ11:AZ13"/>
  </mergeCells>
  <phoneticPr fontId="3" type="noConversion"/>
  <pageMargins left="0.78740157480314965" right="0.59055118110236227" top="0.39370078740157483" bottom="0.39370078740157483" header="0" footer="0"/>
  <pageSetup paperSize="8" scale="63" fitToHeight="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zoomScale="75" zoomScaleNormal="75" workbookViewId="0">
      <selection activeCell="L19" sqref="L19"/>
    </sheetView>
  </sheetViews>
  <sheetFormatPr defaultRowHeight="15.75" x14ac:dyDescent="0.25"/>
  <cols>
    <col min="1" max="1" width="4.5703125" style="1" customWidth="1"/>
    <col min="2" max="2" width="28.28515625" style="1" customWidth="1"/>
    <col min="3" max="3" width="11.28515625" style="1" customWidth="1"/>
    <col min="4" max="4" width="12" style="1" customWidth="1"/>
    <col min="5" max="5" width="19.28515625" style="1" customWidth="1"/>
    <col min="6" max="7" width="13" style="1" customWidth="1"/>
    <col min="8" max="8" width="12" style="1" customWidth="1"/>
    <col min="9" max="10" width="17" style="1" customWidth="1"/>
    <col min="11" max="12" width="17.42578125" style="1" customWidth="1"/>
    <col min="13" max="15" width="9.140625" style="1"/>
    <col min="16" max="16" width="25.85546875" style="1" customWidth="1"/>
    <col min="17" max="16384" width="9.140625" style="1"/>
  </cols>
  <sheetData>
    <row r="1" spans="1:52" x14ac:dyDescent="0.25">
      <c r="J1" s="1" t="s">
        <v>260</v>
      </c>
    </row>
    <row r="2" spans="1:52" x14ac:dyDescent="0.25">
      <c r="J2" s="1" t="s">
        <v>482</v>
      </c>
    </row>
    <row r="4" spans="1:52" x14ac:dyDescent="0.25">
      <c r="J4" s="1" t="s">
        <v>241</v>
      </c>
    </row>
    <row r="5" spans="1:52" x14ac:dyDescent="0.25">
      <c r="A5" s="3"/>
      <c r="C5" s="118"/>
      <c r="J5" s="1" t="s">
        <v>460</v>
      </c>
      <c r="AZ5" s="4"/>
    </row>
    <row r="6" spans="1:52" x14ac:dyDescent="0.25">
      <c r="A6" s="3"/>
      <c r="C6" s="118"/>
      <c r="I6" s="116"/>
      <c r="J6" s="189" t="s">
        <v>480</v>
      </c>
      <c r="K6" s="190"/>
      <c r="L6" s="190"/>
      <c r="M6" s="116"/>
      <c r="N6" s="116"/>
      <c r="AZ6" s="4"/>
    </row>
    <row r="7" spans="1:52" x14ac:dyDescent="0.25">
      <c r="A7" s="3"/>
      <c r="C7" s="118"/>
      <c r="I7" s="116"/>
      <c r="J7" s="117"/>
      <c r="K7" s="131"/>
      <c r="L7" s="131"/>
      <c r="M7" s="116"/>
      <c r="N7" s="116"/>
      <c r="AZ7" s="4"/>
    </row>
    <row r="8" spans="1:52" x14ac:dyDescent="0.25">
      <c r="A8" s="3"/>
      <c r="C8" s="118"/>
      <c r="I8" s="116"/>
      <c r="J8" s="117"/>
      <c r="K8" s="131"/>
      <c r="L8" s="131"/>
      <c r="M8" s="116"/>
      <c r="N8" s="116"/>
      <c r="AZ8" s="4"/>
    </row>
    <row r="9" spans="1:52" x14ac:dyDescent="0.25">
      <c r="A9" s="185" t="s">
        <v>224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AZ9" s="4"/>
    </row>
    <row r="10" spans="1:52" x14ac:dyDescent="0.25">
      <c r="A10" s="186" t="s">
        <v>221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</row>
    <row r="11" spans="1:52" x14ac:dyDescent="0.25">
      <c r="A11" s="187" t="s">
        <v>485</v>
      </c>
      <c r="B11" s="187"/>
      <c r="C11" s="187"/>
      <c r="D11" s="187"/>
      <c r="E11" s="187"/>
      <c r="F11" s="187"/>
      <c r="G11" s="187"/>
      <c r="H11" s="187"/>
      <c r="I11" s="188"/>
      <c r="J11" s="188"/>
      <c r="K11" s="188"/>
    </row>
    <row r="12" spans="1:52" ht="16.5" thickBot="1" x14ac:dyDescent="0.3">
      <c r="K12" s="1" t="s">
        <v>191</v>
      </c>
    </row>
    <row r="13" spans="1:52" ht="119.25" customHeight="1" thickBot="1" x14ac:dyDescent="0.3">
      <c r="A13" s="30" t="s">
        <v>192</v>
      </c>
      <c r="B13" s="31" t="s">
        <v>220</v>
      </c>
      <c r="C13" s="31" t="s">
        <v>8</v>
      </c>
      <c r="D13" s="31" t="s">
        <v>258</v>
      </c>
      <c r="E13" s="31" t="s">
        <v>223</v>
      </c>
      <c r="F13" s="31" t="s">
        <v>437</v>
      </c>
      <c r="G13" s="31" t="s">
        <v>438</v>
      </c>
      <c r="H13" s="31" t="s">
        <v>222</v>
      </c>
      <c r="I13" s="31" t="s">
        <v>439</v>
      </c>
      <c r="J13" s="31" t="s">
        <v>440</v>
      </c>
      <c r="K13" s="31" t="s">
        <v>441</v>
      </c>
      <c r="L13" s="86" t="s">
        <v>442</v>
      </c>
    </row>
    <row r="14" spans="1:52" ht="18.75" customHeight="1" thickBot="1" x14ac:dyDescent="0.3">
      <c r="A14" s="30">
        <v>1</v>
      </c>
      <c r="B14" s="31">
        <v>2</v>
      </c>
      <c r="C14" s="31">
        <v>3</v>
      </c>
      <c r="D14" s="31">
        <v>4</v>
      </c>
      <c r="E14" s="31">
        <v>5</v>
      </c>
      <c r="F14" s="31">
        <v>6</v>
      </c>
      <c r="G14" s="31">
        <v>7</v>
      </c>
      <c r="H14" s="31">
        <v>8</v>
      </c>
      <c r="I14" s="31">
        <v>9</v>
      </c>
      <c r="J14" s="31">
        <v>10</v>
      </c>
      <c r="K14" s="31">
        <v>11</v>
      </c>
      <c r="L14" s="89">
        <v>12</v>
      </c>
    </row>
    <row r="15" spans="1:52" ht="57.75" customHeight="1" x14ac:dyDescent="0.25">
      <c r="A15" s="132" t="s">
        <v>67</v>
      </c>
      <c r="B15" s="155" t="s">
        <v>444</v>
      </c>
      <c r="C15" s="29" t="s">
        <v>38</v>
      </c>
      <c r="D15" s="29" t="s">
        <v>194</v>
      </c>
      <c r="E15" s="68">
        <f>нормы!BJ46</f>
        <v>967.66005889039297</v>
      </c>
      <c r="F15" s="41">
        <v>10.48</v>
      </c>
      <c r="G15" s="41">
        <v>12.05</v>
      </c>
      <c r="H15" s="42">
        <v>5</v>
      </c>
      <c r="I15" s="71">
        <f>F15*H15</f>
        <v>52.400000000000006</v>
      </c>
      <c r="J15" s="71">
        <f>G15*H15</f>
        <v>60.25</v>
      </c>
      <c r="K15" s="71">
        <f>E15+I15</f>
        <v>1020.060058890393</v>
      </c>
      <c r="L15" s="65">
        <f>E15+J15</f>
        <v>1027.910058890393</v>
      </c>
    </row>
    <row r="16" spans="1:52" ht="40.5" customHeight="1" x14ac:dyDescent="0.25">
      <c r="A16" s="90" t="s">
        <v>89</v>
      </c>
      <c r="B16" s="156" t="s">
        <v>443</v>
      </c>
      <c r="C16" s="16" t="s">
        <v>47</v>
      </c>
      <c r="D16" s="16" t="s">
        <v>194</v>
      </c>
      <c r="E16" s="69">
        <f>нормы!BJ59</f>
        <v>784.95175229424297</v>
      </c>
      <c r="F16" s="87">
        <v>10.48</v>
      </c>
      <c r="G16" s="87">
        <v>12.05</v>
      </c>
      <c r="H16" s="40">
        <v>10</v>
      </c>
      <c r="I16" s="72">
        <f>F16*H16</f>
        <v>104.80000000000001</v>
      </c>
      <c r="J16" s="72">
        <f>G16*H16</f>
        <v>120.5</v>
      </c>
      <c r="K16" s="72">
        <f>E16+I16</f>
        <v>889.75175229424303</v>
      </c>
      <c r="L16" s="66">
        <f>E16+J16</f>
        <v>905.45175229424297</v>
      </c>
    </row>
    <row r="17" spans="1:12" ht="42" customHeight="1" x14ac:dyDescent="0.25">
      <c r="A17" s="90" t="s">
        <v>90</v>
      </c>
      <c r="B17" s="156" t="s">
        <v>253</v>
      </c>
      <c r="C17" s="16" t="s">
        <v>53</v>
      </c>
      <c r="D17" s="16" t="s">
        <v>194</v>
      </c>
      <c r="E17" s="69">
        <f>нормы!BJ65</f>
        <v>1026.8766091270427</v>
      </c>
      <c r="F17" s="87">
        <v>10.48</v>
      </c>
      <c r="G17" s="87">
        <v>12.05</v>
      </c>
      <c r="H17" s="40">
        <v>10</v>
      </c>
      <c r="I17" s="72">
        <f>F17*H17</f>
        <v>104.80000000000001</v>
      </c>
      <c r="J17" s="72">
        <f>G17*H17</f>
        <v>120.5</v>
      </c>
      <c r="K17" s="72">
        <f>E17+I17</f>
        <v>1131.6766091270426</v>
      </c>
      <c r="L17" s="66">
        <f>E17+J17</f>
        <v>1147.3766091270427</v>
      </c>
    </row>
    <row r="18" spans="1:12" ht="45.75" customHeight="1" x14ac:dyDescent="0.25">
      <c r="A18" s="90" t="s">
        <v>91</v>
      </c>
      <c r="B18" s="156" t="s">
        <v>253</v>
      </c>
      <c r="C18" s="16" t="s">
        <v>68</v>
      </c>
      <c r="D18" s="16" t="s">
        <v>194</v>
      </c>
      <c r="E18" s="69">
        <f>нормы!BJ66</f>
        <v>1026.8766091270427</v>
      </c>
      <c r="F18" s="87">
        <v>10.48</v>
      </c>
      <c r="G18" s="87">
        <v>12.05</v>
      </c>
      <c r="H18" s="40">
        <v>10</v>
      </c>
      <c r="I18" s="72">
        <f>F18*H18</f>
        <v>104.80000000000001</v>
      </c>
      <c r="J18" s="72">
        <f>G18*H18</f>
        <v>120.5</v>
      </c>
      <c r="K18" s="72">
        <f>E18+I18</f>
        <v>1131.6766091270426</v>
      </c>
      <c r="L18" s="66">
        <f>E18+J18</f>
        <v>1147.3766091270427</v>
      </c>
    </row>
    <row r="19" spans="1:12" ht="45.75" customHeight="1" thickBot="1" x14ac:dyDescent="0.3">
      <c r="A19" s="91" t="s">
        <v>92</v>
      </c>
      <c r="B19" s="154" t="s">
        <v>466</v>
      </c>
      <c r="C19" s="110" t="s">
        <v>469</v>
      </c>
      <c r="D19" s="17" t="s">
        <v>194</v>
      </c>
      <c r="E19" s="70">
        <f>нормы!BJ74</f>
        <v>1413.1890366299231</v>
      </c>
      <c r="F19" s="88">
        <v>10.48</v>
      </c>
      <c r="G19" s="88">
        <v>12.05</v>
      </c>
      <c r="H19" s="138">
        <v>4.9000000000000004</v>
      </c>
      <c r="I19" s="73">
        <f>F19*H19</f>
        <v>51.352000000000004</v>
      </c>
      <c r="J19" s="73">
        <f>G19*H19</f>
        <v>59.045000000000009</v>
      </c>
      <c r="K19" s="73">
        <f>E19+I19</f>
        <v>1464.5410366299232</v>
      </c>
      <c r="L19" s="67">
        <f>E19+J19</f>
        <v>1472.2340366299231</v>
      </c>
    </row>
    <row r="20" spans="1:12" x14ac:dyDescent="0.25">
      <c r="A20" s="8"/>
      <c r="B20" s="28"/>
      <c r="C20" s="9"/>
      <c r="D20" s="9"/>
      <c r="E20" s="10"/>
      <c r="F20" s="10"/>
      <c r="G20" s="10"/>
      <c r="H20" s="11"/>
      <c r="I20" s="12"/>
      <c r="J20" s="12"/>
      <c r="K20" s="13"/>
    </row>
    <row r="21" spans="1:12" x14ac:dyDescent="0.25">
      <c r="A21" s="8"/>
      <c r="B21" s="7" t="s">
        <v>225</v>
      </c>
      <c r="C21" s="9"/>
      <c r="D21" s="9"/>
      <c r="E21" s="10"/>
      <c r="F21" s="10"/>
      <c r="G21" s="10"/>
      <c r="H21" s="11"/>
      <c r="I21" s="12"/>
      <c r="J21" s="12"/>
      <c r="K21" s="13"/>
    </row>
    <row r="22" spans="1:12" x14ac:dyDescent="0.25">
      <c r="A22" s="8"/>
      <c r="B22" s="7" t="s">
        <v>226</v>
      </c>
      <c r="C22" s="9"/>
      <c r="D22" s="9"/>
      <c r="E22" s="10"/>
      <c r="F22" s="10"/>
      <c r="G22" s="10"/>
      <c r="H22" s="11"/>
      <c r="I22" s="12"/>
      <c r="J22" s="12"/>
      <c r="K22" s="13"/>
    </row>
    <row r="23" spans="1:12" x14ac:dyDescent="0.25">
      <c r="B23" s="2" t="s">
        <v>445</v>
      </c>
    </row>
    <row r="24" spans="1:12" x14ac:dyDescent="0.25">
      <c r="B24" s="2"/>
    </row>
    <row r="25" spans="1:12" x14ac:dyDescent="0.25">
      <c r="B25" s="2"/>
    </row>
    <row r="26" spans="1:12" x14ac:dyDescent="0.25">
      <c r="A26" s="6" t="s">
        <v>216</v>
      </c>
      <c r="B26" s="32"/>
      <c r="D26" s="18"/>
      <c r="E26" s="18"/>
      <c r="I26" s="15"/>
      <c r="J26" s="15"/>
      <c r="K26" s="19" t="s">
        <v>217</v>
      </c>
    </row>
    <row r="28" spans="1:12" x14ac:dyDescent="0.25">
      <c r="A28" s="1" t="s">
        <v>5</v>
      </c>
      <c r="I28" s="20"/>
      <c r="J28" s="20"/>
    </row>
    <row r="29" spans="1:12" x14ac:dyDescent="0.25">
      <c r="A29" s="1" t="s">
        <v>476</v>
      </c>
      <c r="I29" s="20"/>
      <c r="J29" s="20"/>
    </row>
    <row r="30" spans="1:12" x14ac:dyDescent="0.25">
      <c r="A30" s="1" t="s">
        <v>268</v>
      </c>
      <c r="H30" s="21"/>
      <c r="I30" s="20"/>
      <c r="J30" s="20"/>
    </row>
    <row r="31" spans="1:12" x14ac:dyDescent="0.25">
      <c r="B31" s="22"/>
      <c r="C31" s="22"/>
      <c r="H31" s="21"/>
      <c r="I31" s="20"/>
      <c r="J31" s="20"/>
    </row>
    <row r="32" spans="1:12" x14ac:dyDescent="0.25">
      <c r="I32" s="6"/>
      <c r="J32" s="6"/>
    </row>
    <row r="33" spans="9:10" x14ac:dyDescent="0.25">
      <c r="I33" s="6"/>
      <c r="J33" s="6"/>
    </row>
    <row r="34" spans="9:10" x14ac:dyDescent="0.25">
      <c r="I34" s="6"/>
      <c r="J34" s="6"/>
    </row>
    <row r="35" spans="9:10" x14ac:dyDescent="0.25">
      <c r="I35" s="6"/>
      <c r="J35" s="6"/>
    </row>
  </sheetData>
  <mergeCells count="4">
    <mergeCell ref="A9:K9"/>
    <mergeCell ref="A10:K10"/>
    <mergeCell ref="A11:K11"/>
    <mergeCell ref="J6:L6"/>
  </mergeCells>
  <pageMargins left="0.9055118110236221" right="0.78740157480314965" top="0.74803149606299213" bottom="0.39370078740157483" header="0" footer="0"/>
  <pageSetup paperSize="9" scale="7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showGridLines="0" tabSelected="1" zoomScale="75" zoomScaleNormal="75" workbookViewId="0">
      <selection activeCell="F24" sqref="F24"/>
    </sheetView>
  </sheetViews>
  <sheetFormatPr defaultRowHeight="15.75" x14ac:dyDescent="0.25"/>
  <cols>
    <col min="1" max="1" width="5.140625" style="1" customWidth="1"/>
    <col min="2" max="2" width="26.28515625" style="22" customWidth="1"/>
    <col min="3" max="4" width="11.140625" style="1" customWidth="1"/>
    <col min="5" max="5" width="17.42578125" style="1" customWidth="1"/>
    <col min="6" max="6" width="16.85546875" style="1" customWidth="1"/>
    <col min="7" max="7" width="17.5703125" style="1" customWidth="1"/>
    <col min="8" max="9" width="9.140625" style="1"/>
    <col min="10" max="10" width="16.28515625" style="1" customWidth="1"/>
    <col min="11" max="16384" width="9.140625" style="1"/>
  </cols>
  <sheetData>
    <row r="1" spans="1:10" x14ac:dyDescent="0.25">
      <c r="E1" s="93" t="s">
        <v>11</v>
      </c>
      <c r="F1" s="93"/>
      <c r="G1" s="94"/>
    </row>
    <row r="2" spans="1:10" x14ac:dyDescent="0.25">
      <c r="E2" s="2" t="s">
        <v>481</v>
      </c>
      <c r="F2" s="2"/>
      <c r="G2" s="5"/>
    </row>
    <row r="3" spans="1:10" x14ac:dyDescent="0.25">
      <c r="E3" s="2"/>
      <c r="F3" s="2"/>
      <c r="G3" s="5"/>
    </row>
    <row r="4" spans="1:10" x14ac:dyDescent="0.25">
      <c r="F4" s="1" t="s">
        <v>468</v>
      </c>
    </row>
    <row r="5" spans="1:10" x14ac:dyDescent="0.25">
      <c r="F5" s="1" t="s">
        <v>477</v>
      </c>
    </row>
    <row r="6" spans="1:10" x14ac:dyDescent="0.25">
      <c r="F6" s="1" t="s">
        <v>478</v>
      </c>
    </row>
    <row r="7" spans="1:10" x14ac:dyDescent="0.25">
      <c r="E7" s="115"/>
      <c r="G7" s="115"/>
      <c r="H7" s="115"/>
      <c r="I7" s="115"/>
      <c r="J7" s="115"/>
    </row>
    <row r="8" spans="1:10" x14ac:dyDescent="0.25">
      <c r="F8" s="1" t="s">
        <v>479</v>
      </c>
    </row>
    <row r="11" spans="1:10" x14ac:dyDescent="0.25">
      <c r="B11" s="191" t="s">
        <v>193</v>
      </c>
      <c r="C11" s="191"/>
      <c r="D11" s="191"/>
      <c r="E11" s="191"/>
      <c r="F11" s="191"/>
    </row>
    <row r="12" spans="1:10" x14ac:dyDescent="0.25">
      <c r="B12" s="191" t="s">
        <v>218</v>
      </c>
      <c r="C12" s="191"/>
      <c r="D12" s="191"/>
      <c r="E12" s="191"/>
      <c r="F12" s="191"/>
    </row>
    <row r="13" spans="1:10" ht="23.25" customHeight="1" x14ac:dyDescent="0.25">
      <c r="A13" s="188" t="s">
        <v>197</v>
      </c>
      <c r="B13" s="188"/>
      <c r="C13" s="188"/>
      <c r="D13" s="188"/>
      <c r="E13" s="188"/>
      <c r="F13" s="188"/>
      <c r="G13" s="188"/>
    </row>
    <row r="14" spans="1:10" ht="18.75" customHeight="1" x14ac:dyDescent="0.25">
      <c r="A14" s="187" t="s">
        <v>485</v>
      </c>
      <c r="B14" s="187"/>
      <c r="C14" s="187"/>
      <c r="D14" s="187"/>
      <c r="E14" s="187"/>
      <c r="F14" s="187"/>
      <c r="G14" s="187"/>
    </row>
    <row r="15" spans="1:10" ht="16.5" thickBot="1" x14ac:dyDescent="0.3"/>
    <row r="16" spans="1:10" ht="87" customHeight="1" thickBot="1" x14ac:dyDescent="0.3">
      <c r="A16" s="23" t="s">
        <v>192</v>
      </c>
      <c r="B16" s="47" t="s">
        <v>195</v>
      </c>
      <c r="C16" s="24" t="s">
        <v>8</v>
      </c>
      <c r="D16" s="24" t="s">
        <v>258</v>
      </c>
      <c r="E16" s="24" t="s">
        <v>259</v>
      </c>
      <c r="F16" s="25" t="s">
        <v>256</v>
      </c>
      <c r="G16" s="25" t="s">
        <v>257</v>
      </c>
    </row>
    <row r="17" spans="1:10" ht="20.25" customHeight="1" thickBot="1" x14ac:dyDescent="0.3">
      <c r="A17" s="95">
        <v>1</v>
      </c>
      <c r="B17" s="96">
        <v>2</v>
      </c>
      <c r="C17" s="96">
        <v>3</v>
      </c>
      <c r="D17" s="96">
        <v>4</v>
      </c>
      <c r="E17" s="96">
        <v>5</v>
      </c>
      <c r="F17" s="97">
        <v>6</v>
      </c>
      <c r="G17" s="97">
        <v>7</v>
      </c>
    </row>
    <row r="18" spans="1:10" ht="31.5" x14ac:dyDescent="0.25">
      <c r="A18" s="57" t="s">
        <v>67</v>
      </c>
      <c r="B18" s="142" t="s">
        <v>13</v>
      </c>
      <c r="C18" s="38" t="s">
        <v>14</v>
      </c>
      <c r="D18" s="26" t="s">
        <v>194</v>
      </c>
      <c r="E18" s="74">
        <f>нормы!BH15</f>
        <v>1086.9177937364213</v>
      </c>
      <c r="F18" s="74">
        <f>нормы!BJ15</f>
        <v>1150.0834719787929</v>
      </c>
      <c r="G18" s="75">
        <f>нормы!BK15</f>
        <v>1059.8184619477513</v>
      </c>
      <c r="J18" s="111"/>
    </row>
    <row r="19" spans="1:10" ht="31.5" x14ac:dyDescent="0.25">
      <c r="A19" s="52">
        <v>2</v>
      </c>
      <c r="B19" s="78" t="s">
        <v>229</v>
      </c>
      <c r="C19" s="39" t="s">
        <v>231</v>
      </c>
      <c r="D19" s="27" t="s">
        <v>194</v>
      </c>
      <c r="E19" s="76">
        <f>нормы!BH16</f>
        <v>1028.6527763114213</v>
      </c>
      <c r="F19" s="76">
        <f>нормы!BJ16</f>
        <v>1094.1189078305931</v>
      </c>
      <c r="G19" s="77">
        <f>нормы!BK16</f>
        <v>1000.5665043307513</v>
      </c>
    </row>
    <row r="20" spans="1:10" ht="31.5" x14ac:dyDescent="0.25">
      <c r="A20" s="52">
        <v>3</v>
      </c>
      <c r="B20" s="78" t="s">
        <v>229</v>
      </c>
      <c r="C20" s="39" t="s">
        <v>232</v>
      </c>
      <c r="D20" s="27" t="s">
        <v>194</v>
      </c>
      <c r="E20" s="76">
        <f>нормы!BH17</f>
        <v>1028.6527763114213</v>
      </c>
      <c r="F20" s="76">
        <f>нормы!BJ17</f>
        <v>1094.1189078305931</v>
      </c>
      <c r="G20" s="77">
        <f>нормы!BK17</f>
        <v>1000.5665043307513</v>
      </c>
    </row>
    <row r="21" spans="1:10" ht="31.5" x14ac:dyDescent="0.25">
      <c r="A21" s="52">
        <v>4</v>
      </c>
      <c r="B21" s="78" t="s">
        <v>230</v>
      </c>
      <c r="C21" s="39" t="s">
        <v>233</v>
      </c>
      <c r="D21" s="27" t="s">
        <v>194</v>
      </c>
      <c r="E21" s="76">
        <f>нормы!BH18</f>
        <v>834.55774966142133</v>
      </c>
      <c r="F21" s="76">
        <f>нормы!BJ18</f>
        <v>900.02388118059287</v>
      </c>
      <c r="G21" s="77">
        <f>нормы!BK18</f>
        <v>806.47147768075126</v>
      </c>
    </row>
    <row r="22" spans="1:10" ht="31.5" x14ac:dyDescent="0.25">
      <c r="A22" s="58" t="s">
        <v>92</v>
      </c>
      <c r="B22" s="78" t="s">
        <v>230</v>
      </c>
      <c r="C22" s="39" t="s">
        <v>234</v>
      </c>
      <c r="D22" s="27" t="s">
        <v>194</v>
      </c>
      <c r="E22" s="76">
        <f>нормы!BH19</f>
        <v>834.55774966142133</v>
      </c>
      <c r="F22" s="76">
        <f>нормы!BJ19</f>
        <v>900.02388118059287</v>
      </c>
      <c r="G22" s="77">
        <f>нормы!BK19</f>
        <v>806.47147768075126</v>
      </c>
    </row>
    <row r="23" spans="1:10" ht="31.5" x14ac:dyDescent="0.25">
      <c r="A23" s="37" t="s">
        <v>93</v>
      </c>
      <c r="B23" s="78" t="s">
        <v>229</v>
      </c>
      <c r="C23" s="39" t="s">
        <v>285</v>
      </c>
      <c r="D23" s="27" t="s">
        <v>194</v>
      </c>
      <c r="E23" s="76">
        <f>нормы!BH20</f>
        <v>1854.2415637354211</v>
      </c>
      <c r="F23" s="76">
        <f>нормы!BJ20</f>
        <v>1922.3088765559687</v>
      </c>
      <c r="G23" s="77">
        <f>нормы!BK20</f>
        <v>1825.039333261311</v>
      </c>
    </row>
    <row r="24" spans="1:10" ht="31.5" x14ac:dyDescent="0.25">
      <c r="A24" s="37" t="s">
        <v>94</v>
      </c>
      <c r="B24" s="78" t="s">
        <v>280</v>
      </c>
      <c r="C24" s="39" t="s">
        <v>281</v>
      </c>
      <c r="D24" s="27" t="s">
        <v>194</v>
      </c>
      <c r="E24" s="76">
        <f>нормы!BH21</f>
        <v>1340.3580507974214</v>
      </c>
      <c r="F24" s="76">
        <f>нормы!BJ21</f>
        <v>1409.7259542686568</v>
      </c>
      <c r="G24" s="77">
        <f>нормы!BK21</f>
        <v>1310.5978410765913</v>
      </c>
    </row>
    <row r="25" spans="1:10" ht="31.5" x14ac:dyDescent="0.25">
      <c r="A25" s="37" t="s">
        <v>95</v>
      </c>
      <c r="B25" s="78" t="s">
        <v>280</v>
      </c>
      <c r="C25" s="39" t="s">
        <v>282</v>
      </c>
      <c r="D25" s="27" t="s">
        <v>194</v>
      </c>
      <c r="E25" s="76">
        <f>нормы!BH22</f>
        <v>1340.3580507974214</v>
      </c>
      <c r="F25" s="76">
        <f>нормы!BJ22</f>
        <v>1409.7259542686568</v>
      </c>
      <c r="G25" s="77">
        <f>нормы!BK22</f>
        <v>1310.5978410765913</v>
      </c>
    </row>
    <row r="26" spans="1:10" ht="63" x14ac:dyDescent="0.25">
      <c r="A26" s="37" t="s">
        <v>96</v>
      </c>
      <c r="B26" s="143" t="s">
        <v>337</v>
      </c>
      <c r="C26" s="55" t="s">
        <v>338</v>
      </c>
      <c r="D26" s="27" t="s">
        <v>194</v>
      </c>
      <c r="E26" s="76">
        <f>нормы!BH23</f>
        <v>751.71347183242142</v>
      </c>
      <c r="F26" s="76">
        <f>нормы!BJ23</f>
        <v>821.08137530365707</v>
      </c>
      <c r="G26" s="77">
        <f>нормы!BK23</f>
        <v>721.95326211159136</v>
      </c>
    </row>
    <row r="27" spans="1:10" ht="63" x14ac:dyDescent="0.25">
      <c r="A27" s="37" t="s">
        <v>97</v>
      </c>
      <c r="B27" s="143" t="s">
        <v>337</v>
      </c>
      <c r="C27" s="55" t="s">
        <v>339</v>
      </c>
      <c r="D27" s="27" t="s">
        <v>194</v>
      </c>
      <c r="E27" s="76">
        <f>нормы!BH24</f>
        <v>751.71347183242142</v>
      </c>
      <c r="F27" s="76">
        <f>нормы!BJ24</f>
        <v>821.08137530365707</v>
      </c>
      <c r="G27" s="77">
        <f>нормы!BK24</f>
        <v>721.95326211159136</v>
      </c>
    </row>
    <row r="28" spans="1:10" ht="31.5" x14ac:dyDescent="0.25">
      <c r="A28" s="37" t="s">
        <v>98</v>
      </c>
      <c r="B28" s="143" t="s">
        <v>352</v>
      </c>
      <c r="C28" s="55" t="s">
        <v>340</v>
      </c>
      <c r="D28" s="27" t="s">
        <v>194</v>
      </c>
      <c r="E28" s="76">
        <f>нормы!BH25</f>
        <v>517.32542010942143</v>
      </c>
      <c r="F28" s="76">
        <f>нормы!BJ25</f>
        <v>561.52084945016099</v>
      </c>
      <c r="G28" s="77">
        <f>нормы!BK25</f>
        <v>498.3647022548314</v>
      </c>
    </row>
    <row r="29" spans="1:10" ht="31.5" x14ac:dyDescent="0.25">
      <c r="A29" s="37" t="s">
        <v>99</v>
      </c>
      <c r="B29" s="143" t="s">
        <v>17</v>
      </c>
      <c r="C29" s="39" t="s">
        <v>18</v>
      </c>
      <c r="D29" s="27" t="s">
        <v>194</v>
      </c>
      <c r="E29" s="76">
        <f>нормы!BH26</f>
        <v>457.09751286395772</v>
      </c>
      <c r="F29" s="76">
        <f>нормы!BJ26</f>
        <v>514.90937594872923</v>
      </c>
      <c r="G29" s="77">
        <f>нормы!BK26</f>
        <v>0</v>
      </c>
    </row>
    <row r="30" spans="1:10" ht="31.5" x14ac:dyDescent="0.25">
      <c r="A30" s="37" t="s">
        <v>100</v>
      </c>
      <c r="B30" s="143" t="s">
        <v>19</v>
      </c>
      <c r="C30" s="39" t="s">
        <v>20</v>
      </c>
      <c r="D30" s="27" t="s">
        <v>194</v>
      </c>
      <c r="E30" s="76">
        <f>нормы!BH27</f>
        <v>472.14484228635769</v>
      </c>
      <c r="F30" s="76">
        <f>нормы!BJ27</f>
        <v>529.95670537112926</v>
      </c>
      <c r="G30" s="77">
        <f>нормы!BK27</f>
        <v>0</v>
      </c>
    </row>
    <row r="31" spans="1:10" ht="31.5" x14ac:dyDescent="0.25">
      <c r="A31" s="37" t="s">
        <v>101</v>
      </c>
      <c r="B31" s="143" t="s">
        <v>19</v>
      </c>
      <c r="C31" s="39" t="s">
        <v>21</v>
      </c>
      <c r="D31" s="27" t="s">
        <v>194</v>
      </c>
      <c r="E31" s="76">
        <f>нормы!BH28</f>
        <v>472.14484228635769</v>
      </c>
      <c r="F31" s="76">
        <f>нормы!BJ28</f>
        <v>529.95670537112926</v>
      </c>
      <c r="G31" s="77">
        <f>нормы!BK28</f>
        <v>0</v>
      </c>
    </row>
    <row r="32" spans="1:10" ht="41.25" customHeight="1" x14ac:dyDescent="0.25">
      <c r="A32" s="37" t="s">
        <v>102</v>
      </c>
      <c r="B32" s="143" t="s">
        <v>19</v>
      </c>
      <c r="C32" s="39" t="s">
        <v>22</v>
      </c>
      <c r="D32" s="27" t="s">
        <v>194</v>
      </c>
      <c r="E32" s="76">
        <f>нормы!BH29</f>
        <v>472.14484228635769</v>
      </c>
      <c r="F32" s="76">
        <f>нормы!BJ29</f>
        <v>529.95670537112926</v>
      </c>
      <c r="G32" s="77">
        <f>нормы!BK29</f>
        <v>0</v>
      </c>
    </row>
    <row r="33" spans="1:7" ht="42" customHeight="1" x14ac:dyDescent="0.25">
      <c r="A33" s="37" t="s">
        <v>103</v>
      </c>
      <c r="B33" s="143" t="s">
        <v>448</v>
      </c>
      <c r="C33" s="39" t="s">
        <v>23</v>
      </c>
      <c r="D33" s="27" t="s">
        <v>194</v>
      </c>
      <c r="E33" s="76">
        <f>нормы!BH30</f>
        <v>707.0404370587213</v>
      </c>
      <c r="F33" s="76">
        <f>нормы!BJ30</f>
        <v>774.09322821334888</v>
      </c>
      <c r="G33" s="77">
        <f>нормы!BK30</f>
        <v>678.27345654941121</v>
      </c>
    </row>
    <row r="34" spans="1:7" ht="47.25" x14ac:dyDescent="0.25">
      <c r="A34" s="37" t="s">
        <v>104</v>
      </c>
      <c r="B34" s="143" t="s">
        <v>465</v>
      </c>
      <c r="C34" s="39" t="s">
        <v>24</v>
      </c>
      <c r="D34" s="27" t="s">
        <v>194</v>
      </c>
      <c r="E34" s="76">
        <f>нормы!BH31</f>
        <v>650.58874290222127</v>
      </c>
      <c r="F34" s="76">
        <f>нормы!BJ31</f>
        <v>718.67434323777684</v>
      </c>
      <c r="G34" s="77">
        <f>нормы!BK31</f>
        <v>621.37866672059124</v>
      </c>
    </row>
    <row r="35" spans="1:7" ht="47.25" x14ac:dyDescent="0.25">
      <c r="A35" s="37" t="s">
        <v>105</v>
      </c>
      <c r="B35" s="143" t="s">
        <v>465</v>
      </c>
      <c r="C35" s="39" t="s">
        <v>25</v>
      </c>
      <c r="D35" s="27" t="s">
        <v>194</v>
      </c>
      <c r="E35" s="76">
        <f>нормы!BH32</f>
        <v>645.45531743022127</v>
      </c>
      <c r="F35" s="76">
        <f>нормы!BJ32</f>
        <v>712.50810858484886</v>
      </c>
      <c r="G35" s="77">
        <f>нормы!BK32</f>
        <v>616.68833692091118</v>
      </c>
    </row>
    <row r="36" spans="1:7" ht="31.5" x14ac:dyDescent="0.25">
      <c r="A36" s="58" t="s">
        <v>106</v>
      </c>
      <c r="B36" s="143" t="s">
        <v>26</v>
      </c>
      <c r="C36" s="39" t="s">
        <v>27</v>
      </c>
      <c r="D36" s="27" t="s">
        <v>194</v>
      </c>
      <c r="E36" s="76">
        <f>нормы!BH33</f>
        <v>697.50682138887134</v>
      </c>
      <c r="F36" s="76">
        <f>нормы!BJ33</f>
        <v>765.59242172442691</v>
      </c>
      <c r="G36" s="77">
        <f>нормы!BK33</f>
        <v>668.29674520724132</v>
      </c>
    </row>
    <row r="37" spans="1:7" ht="47.25" x14ac:dyDescent="0.25">
      <c r="A37" s="37" t="s">
        <v>107</v>
      </c>
      <c r="B37" s="143" t="s">
        <v>243</v>
      </c>
      <c r="C37" s="39" t="s">
        <v>28</v>
      </c>
      <c r="D37" s="27" t="s">
        <v>194</v>
      </c>
      <c r="E37" s="76">
        <f>нормы!BH34</f>
        <v>712.17386253072129</v>
      </c>
      <c r="F37" s="76">
        <f>нормы!BJ34</f>
        <v>780.25946286627686</v>
      </c>
      <c r="G37" s="77">
        <f>нормы!BK34</f>
        <v>682.96378634909127</v>
      </c>
    </row>
    <row r="38" spans="1:7" ht="47.25" x14ac:dyDescent="0.25">
      <c r="A38" s="58" t="s">
        <v>108</v>
      </c>
      <c r="B38" s="143" t="s">
        <v>244</v>
      </c>
      <c r="C38" s="39" t="s">
        <v>29</v>
      </c>
      <c r="D38" s="27" t="s">
        <v>194</v>
      </c>
      <c r="E38" s="76">
        <f>нормы!BH35</f>
        <v>712.17386253072129</v>
      </c>
      <c r="F38" s="76">
        <f>нормы!BJ35</f>
        <v>780.25946286627686</v>
      </c>
      <c r="G38" s="77">
        <f>нормы!BK35</f>
        <v>682.96378634909127</v>
      </c>
    </row>
    <row r="39" spans="1:7" ht="47.25" x14ac:dyDescent="0.25">
      <c r="A39" s="37" t="s">
        <v>109</v>
      </c>
      <c r="B39" s="143" t="s">
        <v>244</v>
      </c>
      <c r="C39" s="39" t="s">
        <v>6</v>
      </c>
      <c r="D39" s="27" t="s">
        <v>194</v>
      </c>
      <c r="E39" s="76">
        <f>нормы!BH36</f>
        <v>712.17386253072129</v>
      </c>
      <c r="F39" s="76">
        <f>нормы!BJ36</f>
        <v>780.25946286627686</v>
      </c>
      <c r="G39" s="77">
        <f>нормы!BK36</f>
        <v>682.96378634909127</v>
      </c>
    </row>
    <row r="40" spans="1:7" ht="31.5" x14ac:dyDescent="0.25">
      <c r="A40" s="37" t="s">
        <v>110</v>
      </c>
      <c r="B40" s="143" t="s">
        <v>449</v>
      </c>
      <c r="C40" s="39" t="s">
        <v>31</v>
      </c>
      <c r="D40" s="27" t="s">
        <v>194</v>
      </c>
      <c r="E40" s="76">
        <f>нормы!BH37</f>
        <v>649.07843473097148</v>
      </c>
      <c r="F40" s="76">
        <f>нормы!BJ37</f>
        <v>709.64431049254301</v>
      </c>
      <c r="G40" s="77">
        <f>нормы!BK37</f>
        <v>623.09446989430148</v>
      </c>
    </row>
    <row r="41" spans="1:7" ht="31.5" x14ac:dyDescent="0.25">
      <c r="A41" s="37" t="s">
        <v>111</v>
      </c>
      <c r="B41" s="143" t="s">
        <v>450</v>
      </c>
      <c r="C41" s="39" t="s">
        <v>32</v>
      </c>
      <c r="D41" s="27" t="s">
        <v>194</v>
      </c>
      <c r="E41" s="76">
        <f>нормы!BH38</f>
        <v>550.35860059992126</v>
      </c>
      <c r="F41" s="76">
        <f>нормы!BJ38</f>
        <v>610.00647213589286</v>
      </c>
      <c r="G41" s="77">
        <f>нормы!BK38</f>
        <v>524.76847782725122</v>
      </c>
    </row>
    <row r="42" spans="1:7" ht="31.5" x14ac:dyDescent="0.25">
      <c r="A42" s="37" t="s">
        <v>112</v>
      </c>
      <c r="B42" s="143" t="s">
        <v>33</v>
      </c>
      <c r="C42" s="39" t="s">
        <v>34</v>
      </c>
      <c r="D42" s="27" t="s">
        <v>194</v>
      </c>
      <c r="E42" s="76">
        <f>нормы!BH39</f>
        <v>635.39002153097147</v>
      </c>
      <c r="F42" s="76">
        <f>нормы!BJ39</f>
        <v>693.2018846157431</v>
      </c>
      <c r="G42" s="77">
        <f>нормы!BK39</f>
        <v>610.58758288630145</v>
      </c>
    </row>
    <row r="43" spans="1:7" ht="31.5" x14ac:dyDescent="0.25">
      <c r="A43" s="37" t="s">
        <v>113</v>
      </c>
      <c r="B43" s="143" t="s">
        <v>30</v>
      </c>
      <c r="C43" s="39" t="s">
        <v>35</v>
      </c>
      <c r="D43" s="27" t="s">
        <v>194</v>
      </c>
      <c r="E43" s="76">
        <f>нормы!BH40</f>
        <v>635.39002153097147</v>
      </c>
      <c r="F43" s="76">
        <f>нормы!BJ40</f>
        <v>693.2018846157431</v>
      </c>
      <c r="G43" s="77">
        <f>нормы!BK40</f>
        <v>610.58758288630145</v>
      </c>
    </row>
    <row r="44" spans="1:7" ht="47.25" x14ac:dyDescent="0.25">
      <c r="A44" s="58" t="s">
        <v>114</v>
      </c>
      <c r="B44" s="143" t="s">
        <v>242</v>
      </c>
      <c r="C44" s="39" t="s">
        <v>219</v>
      </c>
      <c r="D44" s="27" t="s">
        <v>194</v>
      </c>
      <c r="E44" s="76">
        <f>нормы!BH41</f>
        <v>712.17386253072129</v>
      </c>
      <c r="F44" s="76">
        <f>нормы!BJ41</f>
        <v>780.25946286627686</v>
      </c>
      <c r="G44" s="77">
        <f>нормы!BK41</f>
        <v>682.96378634909127</v>
      </c>
    </row>
    <row r="45" spans="1:7" ht="42.75" customHeight="1" x14ac:dyDescent="0.25">
      <c r="A45" s="58" t="s">
        <v>115</v>
      </c>
      <c r="B45" s="148" t="s">
        <v>470</v>
      </c>
      <c r="C45" s="148" t="s">
        <v>471</v>
      </c>
      <c r="D45" s="27" t="s">
        <v>194</v>
      </c>
      <c r="E45" s="76">
        <f>нормы!BH42</f>
        <v>1005.8539379324441</v>
      </c>
      <c r="F45" s="76">
        <f>нормы!BJ42</f>
        <v>1069.8609505701584</v>
      </c>
      <c r="G45" s="77">
        <f>нормы!BK42</f>
        <v>978.39365696125867</v>
      </c>
    </row>
    <row r="46" spans="1:7" ht="51" customHeight="1" x14ac:dyDescent="0.25">
      <c r="A46" s="58" t="s">
        <v>116</v>
      </c>
      <c r="B46" s="148" t="s">
        <v>470</v>
      </c>
      <c r="C46" s="148" t="s">
        <v>473</v>
      </c>
      <c r="D46" s="27" t="s">
        <v>194</v>
      </c>
      <c r="E46" s="76">
        <f>нормы!BH43</f>
        <v>1005.8539379324441</v>
      </c>
      <c r="F46" s="76">
        <f>нормы!BJ43</f>
        <v>1069.8609505701584</v>
      </c>
      <c r="G46" s="77">
        <f>нормы!BK43</f>
        <v>978.39365696125867</v>
      </c>
    </row>
    <row r="47" spans="1:7" ht="63" x14ac:dyDescent="0.25">
      <c r="A47" s="58" t="s">
        <v>117</v>
      </c>
      <c r="B47" s="143" t="s">
        <v>36</v>
      </c>
      <c r="C47" s="39" t="s">
        <v>1</v>
      </c>
      <c r="D47" s="27" t="s">
        <v>194</v>
      </c>
      <c r="E47" s="76">
        <f>нормы!BH44</f>
        <v>536.06851239925709</v>
      </c>
      <c r="F47" s="76">
        <f>нормы!BJ44</f>
        <v>593.88037548402872</v>
      </c>
      <c r="G47" s="77">
        <f>нормы!BK44</f>
        <v>0</v>
      </c>
    </row>
    <row r="48" spans="1:7" ht="47.25" x14ac:dyDescent="0.25">
      <c r="A48" s="52">
        <v>31</v>
      </c>
      <c r="B48" s="143" t="s">
        <v>451</v>
      </c>
      <c r="C48" s="39" t="s">
        <v>2</v>
      </c>
      <c r="D48" s="27" t="s">
        <v>194</v>
      </c>
      <c r="E48" s="76">
        <f>нормы!BH45</f>
        <v>748.83512993442162</v>
      </c>
      <c r="F48" s="76">
        <f>нормы!BJ45</f>
        <v>806.64699301919325</v>
      </c>
      <c r="G48" s="77">
        <f>нормы!BK45</f>
        <v>724.0326912897516</v>
      </c>
    </row>
    <row r="49" spans="1:7" s="4" customFormat="1" ht="63" x14ac:dyDescent="0.25">
      <c r="A49" s="37" t="s">
        <v>119</v>
      </c>
      <c r="B49" s="143" t="s">
        <v>452</v>
      </c>
      <c r="C49" s="39" t="s">
        <v>38</v>
      </c>
      <c r="D49" s="143" t="s">
        <v>194</v>
      </c>
      <c r="E49" s="144">
        <f>нормы!BH46</f>
        <v>887.72901098642137</v>
      </c>
      <c r="F49" s="144">
        <f>нормы!BJ46</f>
        <v>967.66005889039297</v>
      </c>
      <c r="G49" s="145">
        <f>нормы!BK46</f>
        <v>853.43700229375133</v>
      </c>
    </row>
    <row r="50" spans="1:7" ht="31.5" x14ac:dyDescent="0.25">
      <c r="A50" s="52">
        <v>33</v>
      </c>
      <c r="B50" s="143" t="s">
        <v>453</v>
      </c>
      <c r="C50" s="39" t="s">
        <v>39</v>
      </c>
      <c r="D50" s="27" t="s">
        <v>194</v>
      </c>
      <c r="E50" s="76">
        <f>нормы!BH47</f>
        <v>830.79154770392131</v>
      </c>
      <c r="F50" s="76">
        <f>нормы!BJ47</f>
        <v>891.35742346549284</v>
      </c>
      <c r="G50" s="77">
        <f>нормы!BK47</f>
        <v>804.80758286725131</v>
      </c>
    </row>
    <row r="51" spans="1:7" ht="34.5" customHeight="1" x14ac:dyDescent="0.25">
      <c r="A51" s="37" t="s">
        <v>446</v>
      </c>
      <c r="B51" s="78" t="s">
        <v>447</v>
      </c>
      <c r="C51" s="78" t="s">
        <v>431</v>
      </c>
      <c r="D51" s="27" t="s">
        <v>194</v>
      </c>
      <c r="E51" s="76">
        <f>нормы!BH48</f>
        <v>764.00143448642154</v>
      </c>
      <c r="F51" s="76">
        <f>нормы!BJ48</f>
        <v>825.57239787839308</v>
      </c>
      <c r="G51" s="77">
        <f>нормы!BK48</f>
        <v>737.58626707375151</v>
      </c>
    </row>
    <row r="52" spans="1:7" ht="31.5" x14ac:dyDescent="0.25">
      <c r="A52" s="58" t="s">
        <v>436</v>
      </c>
      <c r="B52" s="143" t="s">
        <v>245</v>
      </c>
      <c r="C52" s="39" t="s">
        <v>40</v>
      </c>
      <c r="D52" s="27" t="s">
        <v>194</v>
      </c>
      <c r="E52" s="76">
        <f>нормы!BH49</f>
        <v>815.3666912724965</v>
      </c>
      <c r="F52" s="76">
        <f>нормы!BJ49</f>
        <v>882.41948242712408</v>
      </c>
      <c r="G52" s="77">
        <f>нормы!BK49</f>
        <v>786.59971076318641</v>
      </c>
    </row>
    <row r="53" spans="1:7" ht="31.5" x14ac:dyDescent="0.25">
      <c r="A53" s="58" t="s">
        <v>121</v>
      </c>
      <c r="B53" s="143" t="s">
        <v>279</v>
      </c>
      <c r="C53" s="39" t="s">
        <v>278</v>
      </c>
      <c r="D53" s="27" t="s">
        <v>194</v>
      </c>
      <c r="E53" s="76">
        <f>нормы!BH50</f>
        <v>815.3666912724965</v>
      </c>
      <c r="F53" s="76">
        <f>нормы!BJ50</f>
        <v>882.41948242712408</v>
      </c>
      <c r="G53" s="77">
        <f>нормы!BK50</f>
        <v>786.59971076318641</v>
      </c>
    </row>
    <row r="54" spans="1:7" ht="31.5" x14ac:dyDescent="0.25">
      <c r="A54" s="52">
        <v>37</v>
      </c>
      <c r="B54" s="143" t="s">
        <v>245</v>
      </c>
      <c r="C54" s="39" t="s">
        <v>41</v>
      </c>
      <c r="D54" s="27" t="s">
        <v>194</v>
      </c>
      <c r="E54" s="76">
        <f>нормы!BH51</f>
        <v>815.3666912724965</v>
      </c>
      <c r="F54" s="76">
        <f>нормы!BJ51</f>
        <v>882.41948242712408</v>
      </c>
      <c r="G54" s="77">
        <f>нормы!BK51</f>
        <v>786.59971076318641</v>
      </c>
    </row>
    <row r="55" spans="1:7" ht="31.5" x14ac:dyDescent="0.25">
      <c r="A55" s="37" t="s">
        <v>123</v>
      </c>
      <c r="B55" s="143" t="s">
        <v>246</v>
      </c>
      <c r="C55" s="39" t="s">
        <v>42</v>
      </c>
      <c r="D55" s="27" t="s">
        <v>194</v>
      </c>
      <c r="E55" s="76">
        <f>нормы!BH52</f>
        <v>815.3666912724965</v>
      </c>
      <c r="F55" s="76">
        <f>нормы!BJ52</f>
        <v>882.41948242712408</v>
      </c>
      <c r="G55" s="77">
        <f>нормы!BK52</f>
        <v>786.59971076318641</v>
      </c>
    </row>
    <row r="56" spans="1:7" ht="31.5" x14ac:dyDescent="0.25">
      <c r="A56" s="58" t="s">
        <v>124</v>
      </c>
      <c r="B56" s="143" t="s">
        <v>245</v>
      </c>
      <c r="C56" s="39" t="s">
        <v>43</v>
      </c>
      <c r="D56" s="27" t="s">
        <v>194</v>
      </c>
      <c r="E56" s="76">
        <f>нормы!BH53</f>
        <v>805.0998403284965</v>
      </c>
      <c r="F56" s="76">
        <f>нормы!BJ53</f>
        <v>870.08701312126811</v>
      </c>
      <c r="G56" s="77">
        <f>нормы!BK53</f>
        <v>777.21905116382641</v>
      </c>
    </row>
    <row r="57" spans="1:7" ht="31.5" x14ac:dyDescent="0.25">
      <c r="A57" s="37" t="s">
        <v>125</v>
      </c>
      <c r="B57" s="143" t="s">
        <v>247</v>
      </c>
      <c r="C57" s="39" t="s">
        <v>44</v>
      </c>
      <c r="D57" s="27" t="s">
        <v>194</v>
      </c>
      <c r="E57" s="76">
        <f>нормы!BH54</f>
        <v>768.70453325073129</v>
      </c>
      <c r="F57" s="76">
        <f>нормы!BJ54</f>
        <v>833.6917060435029</v>
      </c>
      <c r="G57" s="77">
        <f>нормы!BK54</f>
        <v>740.8237440860612</v>
      </c>
    </row>
    <row r="58" spans="1:7" ht="31.5" x14ac:dyDescent="0.25">
      <c r="A58" s="58" t="s">
        <v>126</v>
      </c>
      <c r="B58" s="143" t="s">
        <v>248</v>
      </c>
      <c r="C58" s="39" t="s">
        <v>45</v>
      </c>
      <c r="D58" s="27" t="s">
        <v>194</v>
      </c>
      <c r="E58" s="76">
        <f>нормы!BH55</f>
        <v>778.97138419473129</v>
      </c>
      <c r="F58" s="76">
        <f>нормы!BJ55</f>
        <v>846.02417534935887</v>
      </c>
      <c r="G58" s="77">
        <f>нормы!BK55</f>
        <v>750.2044036854212</v>
      </c>
    </row>
    <row r="59" spans="1:7" ht="31.5" x14ac:dyDescent="0.25">
      <c r="A59" s="37" t="s">
        <v>127</v>
      </c>
      <c r="B59" s="143" t="s">
        <v>249</v>
      </c>
      <c r="C59" s="39" t="s">
        <v>0</v>
      </c>
      <c r="D59" s="27" t="s">
        <v>194</v>
      </c>
      <c r="E59" s="76">
        <f>нормы!BH56</f>
        <v>739.83285796247151</v>
      </c>
      <c r="F59" s="76">
        <f>нормы!BJ56</f>
        <v>797.64472104724314</v>
      </c>
      <c r="G59" s="77">
        <f>нормы!BK56</f>
        <v>715.03041931780149</v>
      </c>
    </row>
    <row r="60" spans="1:7" ht="31.5" x14ac:dyDescent="0.25">
      <c r="A60" s="37" t="s">
        <v>128</v>
      </c>
      <c r="B60" s="143" t="s">
        <v>245</v>
      </c>
      <c r="C60" s="39" t="s">
        <v>46</v>
      </c>
      <c r="D60" s="27" t="s">
        <v>194</v>
      </c>
      <c r="E60" s="76">
        <f>нормы!BH57</f>
        <v>805.0998403284965</v>
      </c>
      <c r="F60" s="76">
        <f>нормы!BJ57</f>
        <v>870.08701312126811</v>
      </c>
      <c r="G60" s="77">
        <f>нормы!BK57</f>
        <v>777.21905116382641</v>
      </c>
    </row>
    <row r="61" spans="1:7" ht="31.5" x14ac:dyDescent="0.25">
      <c r="A61" s="37" t="s">
        <v>129</v>
      </c>
      <c r="B61" s="143" t="s">
        <v>454</v>
      </c>
      <c r="C61" s="39" t="s">
        <v>4</v>
      </c>
      <c r="D61" s="27" t="s">
        <v>194</v>
      </c>
      <c r="E61" s="76">
        <f>нормы!BH58</f>
        <v>762.42154193553472</v>
      </c>
      <c r="F61" s="76">
        <f>нормы!BJ58</f>
        <v>829.4743330901623</v>
      </c>
      <c r="G61" s="77">
        <f>нормы!BK58</f>
        <v>733.65456142622463</v>
      </c>
    </row>
    <row r="62" spans="1:7" ht="31.5" x14ac:dyDescent="0.25">
      <c r="A62" s="37" t="s">
        <v>130</v>
      </c>
      <c r="B62" s="143" t="s">
        <v>455</v>
      </c>
      <c r="C62" s="39" t="s">
        <v>47</v>
      </c>
      <c r="D62" s="27" t="s">
        <v>194</v>
      </c>
      <c r="E62" s="76">
        <f>нормы!BH59</f>
        <v>717.80200828227146</v>
      </c>
      <c r="F62" s="76">
        <f>нормы!BJ59</f>
        <v>784.95175229424297</v>
      </c>
      <c r="G62" s="77">
        <f>нормы!BK59</f>
        <v>688.99343306960145</v>
      </c>
    </row>
    <row r="63" spans="1:7" ht="47.25" x14ac:dyDescent="0.25">
      <c r="A63" s="37" t="s">
        <v>131</v>
      </c>
      <c r="B63" s="143" t="s">
        <v>250</v>
      </c>
      <c r="C63" s="39" t="s">
        <v>48</v>
      </c>
      <c r="D63" s="27" t="s">
        <v>194</v>
      </c>
      <c r="E63" s="76">
        <f>нормы!BH60</f>
        <v>821.52608767705135</v>
      </c>
      <c r="F63" s="76">
        <f>нормы!BJ60</f>
        <v>897.13141258659095</v>
      </c>
      <c r="G63" s="77">
        <f>нормы!BK60</f>
        <v>789.08990015046129</v>
      </c>
    </row>
    <row r="64" spans="1:7" ht="47.25" x14ac:dyDescent="0.25">
      <c r="A64" s="37" t="s">
        <v>132</v>
      </c>
      <c r="B64" s="143" t="s">
        <v>251</v>
      </c>
      <c r="C64" s="39" t="s">
        <v>49</v>
      </c>
      <c r="D64" s="27" t="s">
        <v>194</v>
      </c>
      <c r="E64" s="76">
        <f>нормы!BH61</f>
        <v>833.46512527705147</v>
      </c>
      <c r="F64" s="76">
        <f>нормы!BJ61</f>
        <v>911.47250076899104</v>
      </c>
      <c r="G64" s="77">
        <f>нормы!BK61</f>
        <v>799.99841029446145</v>
      </c>
    </row>
    <row r="65" spans="1:7" ht="31.5" x14ac:dyDescent="0.25">
      <c r="A65" s="37" t="s">
        <v>133</v>
      </c>
      <c r="B65" s="143" t="s">
        <v>252</v>
      </c>
      <c r="C65" s="39" t="s">
        <v>50</v>
      </c>
      <c r="D65" s="27" t="s">
        <v>194</v>
      </c>
      <c r="E65" s="76">
        <f>нормы!BH62</f>
        <v>821.52608767705135</v>
      </c>
      <c r="F65" s="76">
        <f>нормы!BJ62</f>
        <v>897.13141258659095</v>
      </c>
      <c r="G65" s="77">
        <f>нормы!BK62</f>
        <v>789.08990015046129</v>
      </c>
    </row>
    <row r="66" spans="1:7" ht="47.25" x14ac:dyDescent="0.25">
      <c r="A66" s="52">
        <v>49</v>
      </c>
      <c r="B66" s="143" t="s">
        <v>251</v>
      </c>
      <c r="C66" s="39" t="s">
        <v>51</v>
      </c>
      <c r="D66" s="27" t="s">
        <v>194</v>
      </c>
      <c r="E66" s="76">
        <f>нормы!BH63</f>
        <v>815.82204113305136</v>
      </c>
      <c r="F66" s="76">
        <f>нормы!BJ63</f>
        <v>890.27975190633492</v>
      </c>
      <c r="G66" s="77">
        <f>нормы!BK63</f>
        <v>783.87820288710134</v>
      </c>
    </row>
    <row r="67" spans="1:7" ht="31.5" x14ac:dyDescent="0.25">
      <c r="A67" s="37" t="s">
        <v>134</v>
      </c>
      <c r="B67" s="143" t="s">
        <v>434</v>
      </c>
      <c r="C67" s="39" t="s">
        <v>52</v>
      </c>
      <c r="D67" s="27" t="s">
        <v>194</v>
      </c>
      <c r="E67" s="76">
        <f>нормы!BH64</f>
        <v>406.51038074542129</v>
      </c>
      <c r="F67" s="76">
        <f>нормы!BJ64</f>
        <v>449.02277814939282</v>
      </c>
      <c r="G67" s="77">
        <f>нормы!BK64</f>
        <v>388.27171705275123</v>
      </c>
    </row>
    <row r="68" spans="1:7" ht="31.5" x14ac:dyDescent="0.25">
      <c r="A68" s="37" t="s">
        <v>135</v>
      </c>
      <c r="B68" s="143" t="s">
        <v>253</v>
      </c>
      <c r="C68" s="39" t="s">
        <v>53</v>
      </c>
      <c r="D68" s="27" t="s">
        <v>194</v>
      </c>
      <c r="E68" s="76">
        <f>нормы!BH65</f>
        <v>959.72686511507118</v>
      </c>
      <c r="F68" s="76">
        <f>нормы!BJ65</f>
        <v>1026.8766091270427</v>
      </c>
      <c r="G68" s="77">
        <f>нормы!BK65</f>
        <v>930.91828990240117</v>
      </c>
    </row>
    <row r="69" spans="1:7" ht="31.5" x14ac:dyDescent="0.25">
      <c r="A69" s="52">
        <v>52</v>
      </c>
      <c r="B69" s="143" t="s">
        <v>253</v>
      </c>
      <c r="C69" s="39" t="s">
        <v>68</v>
      </c>
      <c r="D69" s="27" t="s">
        <v>194</v>
      </c>
      <c r="E69" s="76">
        <f>нормы!BH66</f>
        <v>959.72686511507118</v>
      </c>
      <c r="F69" s="76">
        <f>нормы!BJ66</f>
        <v>1026.8766091270427</v>
      </c>
      <c r="G69" s="77">
        <f>нормы!BK66</f>
        <v>930.91828990240117</v>
      </c>
    </row>
    <row r="70" spans="1:7" ht="45.75" customHeight="1" x14ac:dyDescent="0.25">
      <c r="A70" s="37" t="s">
        <v>137</v>
      </c>
      <c r="B70" s="143" t="s">
        <v>254</v>
      </c>
      <c r="C70" s="39" t="s">
        <v>69</v>
      </c>
      <c r="D70" s="27" t="s">
        <v>194</v>
      </c>
      <c r="E70" s="76">
        <f>нормы!BH67</f>
        <v>1138.1664537470713</v>
      </c>
      <c r="F70" s="76">
        <f>нормы!BJ67</f>
        <v>1213.7717786566109</v>
      </c>
      <c r="G70" s="77">
        <f>нормы!BK67</f>
        <v>1105.7302662204813</v>
      </c>
    </row>
    <row r="71" spans="1:7" ht="47.25" x14ac:dyDescent="0.25">
      <c r="A71" s="37" t="s">
        <v>138</v>
      </c>
      <c r="B71" s="143" t="s">
        <v>294</v>
      </c>
      <c r="C71" s="27" t="s">
        <v>295</v>
      </c>
      <c r="D71" s="27" t="s">
        <v>194</v>
      </c>
      <c r="E71" s="76">
        <f>нормы!BH68</f>
        <v>849.0210627806714</v>
      </c>
      <c r="F71" s="76">
        <f>нормы!BJ68</f>
        <v>923.48602775203494</v>
      </c>
      <c r="G71" s="77">
        <f>нормы!BK68</f>
        <v>817.07411233952132</v>
      </c>
    </row>
    <row r="72" spans="1:7" ht="47.25" x14ac:dyDescent="0.25">
      <c r="A72" s="37" t="s">
        <v>139</v>
      </c>
      <c r="B72" s="143" t="s">
        <v>296</v>
      </c>
      <c r="C72" s="27" t="s">
        <v>297</v>
      </c>
      <c r="D72" s="27" t="s">
        <v>194</v>
      </c>
      <c r="E72" s="76">
        <f>нормы!BH69</f>
        <v>934.1168666398213</v>
      </c>
      <c r="F72" s="76">
        <f>нормы!BJ69</f>
        <v>1033.5515226940649</v>
      </c>
      <c r="G72" s="77">
        <f>нормы!BK69</f>
        <v>891.45742229147129</v>
      </c>
    </row>
    <row r="73" spans="1:7" ht="47.25" x14ac:dyDescent="0.25">
      <c r="A73" s="37" t="s">
        <v>140</v>
      </c>
      <c r="B73" s="143" t="s">
        <v>294</v>
      </c>
      <c r="C73" s="27" t="s">
        <v>332</v>
      </c>
      <c r="D73" s="27" t="s">
        <v>194</v>
      </c>
      <c r="E73" s="76">
        <f>нормы!BH70</f>
        <v>849.0210627806714</v>
      </c>
      <c r="F73" s="76">
        <f>нормы!BJ70</f>
        <v>923.48602775203494</v>
      </c>
      <c r="G73" s="77">
        <f>нормы!BK70</f>
        <v>817.07411233952132</v>
      </c>
    </row>
    <row r="74" spans="1:7" ht="47.25" x14ac:dyDescent="0.25">
      <c r="A74" s="37" t="s">
        <v>141</v>
      </c>
      <c r="B74" s="143" t="s">
        <v>296</v>
      </c>
      <c r="C74" s="27" t="s">
        <v>333</v>
      </c>
      <c r="D74" s="27" t="s">
        <v>194</v>
      </c>
      <c r="E74" s="76">
        <f>нормы!BH71</f>
        <v>810.00870551982132</v>
      </c>
      <c r="F74" s="76">
        <f>нормы!BJ71</f>
        <v>884.47367049118486</v>
      </c>
      <c r="G74" s="77">
        <f>нормы!BK71</f>
        <v>778.06175507867124</v>
      </c>
    </row>
    <row r="75" spans="1:7" ht="55.5" customHeight="1" x14ac:dyDescent="0.25">
      <c r="A75" s="37" t="s">
        <v>142</v>
      </c>
      <c r="B75" s="143" t="s">
        <v>334</v>
      </c>
      <c r="C75" s="27" t="s">
        <v>335</v>
      </c>
      <c r="D75" s="27" t="s">
        <v>194</v>
      </c>
      <c r="E75" s="76">
        <f>нормы!BH72</f>
        <v>1603.7953367678215</v>
      </c>
      <c r="F75" s="76">
        <f>нормы!BJ72</f>
        <v>1674.8696895565931</v>
      </c>
      <c r="G75" s="77">
        <f>нормы!BK72</f>
        <v>1573.3030263631515</v>
      </c>
    </row>
    <row r="76" spans="1:7" ht="47.25" x14ac:dyDescent="0.25">
      <c r="A76" s="37" t="s">
        <v>143</v>
      </c>
      <c r="B76" s="143" t="s">
        <v>334</v>
      </c>
      <c r="C76" s="27" t="s">
        <v>336</v>
      </c>
      <c r="D76" s="27" t="s">
        <v>194</v>
      </c>
      <c r="E76" s="76">
        <f>нормы!BH73</f>
        <v>1603.7953367678215</v>
      </c>
      <c r="F76" s="76">
        <f>нормы!BJ73</f>
        <v>1674.8696895565931</v>
      </c>
      <c r="G76" s="77">
        <f>нормы!BK73</f>
        <v>1573.3030263631515</v>
      </c>
    </row>
    <row r="77" spans="1:7" ht="47.25" customHeight="1" x14ac:dyDescent="0.25">
      <c r="A77" s="37" t="s">
        <v>144</v>
      </c>
      <c r="B77" s="140" t="s">
        <v>466</v>
      </c>
      <c r="C77" s="39" t="s">
        <v>469</v>
      </c>
      <c r="D77" s="27" t="s">
        <v>194</v>
      </c>
      <c r="E77" s="76">
        <f>нормы!BH74</f>
        <v>1349.1811392931515</v>
      </c>
      <c r="F77" s="76">
        <f>нормы!BJ74</f>
        <v>1413.1890366299231</v>
      </c>
      <c r="G77" s="77">
        <f>нормы!BK74</f>
        <v>1321.7204787684816</v>
      </c>
    </row>
    <row r="78" spans="1:7" ht="57" customHeight="1" x14ac:dyDescent="0.25">
      <c r="A78" s="37" t="s">
        <v>146</v>
      </c>
      <c r="B78" s="148" t="s">
        <v>474</v>
      </c>
      <c r="C78" s="27" t="s">
        <v>475</v>
      </c>
      <c r="D78" s="27" t="s">
        <v>194</v>
      </c>
      <c r="E78" s="76">
        <f>нормы!BH75</f>
        <v>1429.6244312687377</v>
      </c>
      <c r="F78" s="76">
        <f>нормы!BJ75</f>
        <v>1502.9583074801801</v>
      </c>
      <c r="G78" s="77">
        <f>нормы!BK75</f>
        <v>1398.1627403932323</v>
      </c>
    </row>
    <row r="79" spans="1:7" ht="47.25" x14ac:dyDescent="0.25">
      <c r="A79" s="37" t="s">
        <v>147</v>
      </c>
      <c r="B79" s="143" t="s">
        <v>355</v>
      </c>
      <c r="C79" s="39" t="s">
        <v>356</v>
      </c>
      <c r="D79" s="27" t="s">
        <v>194</v>
      </c>
      <c r="E79" s="76">
        <f>нормы!BH76</f>
        <v>3897.0896926060013</v>
      </c>
      <c r="F79" s="76">
        <f>нормы!BJ76</f>
        <v>3969.2521751067729</v>
      </c>
      <c r="G79" s="77">
        <f>нормы!BK76</f>
        <v>3866.1305529213314</v>
      </c>
    </row>
    <row r="80" spans="1:7" ht="47.25" x14ac:dyDescent="0.25">
      <c r="A80" s="37" t="s">
        <v>148</v>
      </c>
      <c r="B80" s="143" t="s">
        <v>255</v>
      </c>
      <c r="C80" s="39" t="s">
        <v>3</v>
      </c>
      <c r="D80" s="27" t="s">
        <v>194</v>
      </c>
      <c r="E80" s="76">
        <f>нормы!BH77</f>
        <v>1316.5775524883229</v>
      </c>
      <c r="F80" s="76">
        <f>нормы!BJ77</f>
        <v>1392.1828773978625</v>
      </c>
      <c r="G80" s="77">
        <f>нормы!BK77</f>
        <v>1284.141364961733</v>
      </c>
    </row>
    <row r="81" spans="1:7" ht="31.5" x14ac:dyDescent="0.25">
      <c r="A81" s="37" t="s">
        <v>145</v>
      </c>
      <c r="B81" s="78" t="s">
        <v>212</v>
      </c>
      <c r="C81" s="39" t="s">
        <v>420</v>
      </c>
      <c r="D81" s="27" t="s">
        <v>194</v>
      </c>
      <c r="E81" s="76">
        <f>нормы!BH78</f>
        <v>748.4604882106272</v>
      </c>
      <c r="F81" s="76">
        <f>нормы!BJ78</f>
        <v>806.27779400819884</v>
      </c>
      <c r="G81" s="77">
        <f>нормы!BK78</f>
        <v>723.65571453395717</v>
      </c>
    </row>
    <row r="82" spans="1:7" ht="31.5" x14ac:dyDescent="0.25">
      <c r="A82" s="37" t="s">
        <v>149</v>
      </c>
      <c r="B82" s="78" t="s">
        <v>212</v>
      </c>
      <c r="C82" s="39" t="s">
        <v>421</v>
      </c>
      <c r="D82" s="27" t="s">
        <v>194</v>
      </c>
      <c r="E82" s="76">
        <f>нормы!BH79</f>
        <v>748.4604882106272</v>
      </c>
      <c r="F82" s="76">
        <f>нормы!BJ79</f>
        <v>806.27779400819884</v>
      </c>
      <c r="G82" s="77">
        <f>нормы!BK79</f>
        <v>723.65571453395717</v>
      </c>
    </row>
    <row r="83" spans="1:7" ht="31.5" x14ac:dyDescent="0.25">
      <c r="A83" s="37" t="s">
        <v>150</v>
      </c>
      <c r="B83" s="143" t="s">
        <v>262</v>
      </c>
      <c r="C83" s="39" t="s">
        <v>273</v>
      </c>
      <c r="D83" s="27" t="s">
        <v>194</v>
      </c>
      <c r="E83" s="76">
        <f>нормы!BH80</f>
        <v>910.11661536967142</v>
      </c>
      <c r="F83" s="76">
        <f>нормы!BJ80</f>
        <v>1011.076273586731</v>
      </c>
      <c r="G83" s="77">
        <f>нормы!BK80</f>
        <v>866.80291477428136</v>
      </c>
    </row>
    <row r="84" spans="1:7" ht="31.5" x14ac:dyDescent="0.25">
      <c r="A84" s="37" t="s">
        <v>151</v>
      </c>
      <c r="B84" s="143" t="s">
        <v>262</v>
      </c>
      <c r="C84" s="39" t="s">
        <v>275</v>
      </c>
      <c r="D84" s="27" t="s">
        <v>194</v>
      </c>
      <c r="E84" s="76">
        <f>нормы!BH81</f>
        <v>784.09664688967143</v>
      </c>
      <c r="F84" s="76">
        <f>нормы!BJ81</f>
        <v>859.70197179921104</v>
      </c>
      <c r="G84" s="77">
        <f>нормы!BK81</f>
        <v>751.66045936308137</v>
      </c>
    </row>
    <row r="85" spans="1:7" ht="31.5" x14ac:dyDescent="0.25">
      <c r="A85" s="37" t="s">
        <v>152</v>
      </c>
      <c r="B85" s="143" t="s">
        <v>262</v>
      </c>
      <c r="C85" s="39" t="s">
        <v>276</v>
      </c>
      <c r="D85" s="27" t="s">
        <v>194</v>
      </c>
      <c r="E85" s="76">
        <f>нормы!BH82</f>
        <v>893.00447573767121</v>
      </c>
      <c r="F85" s="76">
        <f>нормы!BJ82</f>
        <v>990.52129154596275</v>
      </c>
      <c r="G85" s="77">
        <f>нормы!BK82</f>
        <v>851.16782298420117</v>
      </c>
    </row>
    <row r="86" spans="1:7" ht="55.5" customHeight="1" x14ac:dyDescent="0.25">
      <c r="A86" s="37" t="s">
        <v>153</v>
      </c>
      <c r="B86" s="143" t="s">
        <v>425</v>
      </c>
      <c r="C86" s="39" t="s">
        <v>426</v>
      </c>
      <c r="D86" s="27" t="s">
        <v>194</v>
      </c>
      <c r="E86" s="76">
        <f>нормы!BH83</f>
        <v>1269.8926003456713</v>
      </c>
      <c r="F86" s="76">
        <f>нормы!BJ83</f>
        <v>1344.3503111189548</v>
      </c>
      <c r="G86" s="77">
        <f>нормы!BK83</f>
        <v>1237.9487620997213</v>
      </c>
    </row>
    <row r="87" spans="1:7" ht="31.5" x14ac:dyDescent="0.25">
      <c r="A87" s="37" t="s">
        <v>154</v>
      </c>
      <c r="B87" s="78" t="s">
        <v>314</v>
      </c>
      <c r="C87" s="16" t="s">
        <v>315</v>
      </c>
      <c r="D87" s="27" t="s">
        <v>194</v>
      </c>
      <c r="E87" s="76">
        <f>нормы!BH84</f>
        <v>497.28523244235134</v>
      </c>
      <c r="F87" s="76">
        <f>нормы!BJ84</f>
        <v>555.09709552712297</v>
      </c>
      <c r="G87" s="77">
        <f>нормы!BK84</f>
        <v>472.48279379768127</v>
      </c>
    </row>
    <row r="88" spans="1:7" ht="31.5" x14ac:dyDescent="0.25">
      <c r="A88" s="37" t="s">
        <v>155</v>
      </c>
      <c r="B88" s="78" t="s">
        <v>314</v>
      </c>
      <c r="C88" s="16" t="s">
        <v>316</v>
      </c>
      <c r="D88" s="27" t="s">
        <v>194</v>
      </c>
      <c r="E88" s="76">
        <f>нормы!BH85</f>
        <v>497.28523244235134</v>
      </c>
      <c r="F88" s="76">
        <f>нормы!BJ85</f>
        <v>555.09709552712297</v>
      </c>
      <c r="G88" s="77">
        <f>нормы!BK85</f>
        <v>472.48279379768127</v>
      </c>
    </row>
    <row r="89" spans="1:7" ht="31.5" x14ac:dyDescent="0.25">
      <c r="A89" s="37" t="s">
        <v>156</v>
      </c>
      <c r="B89" s="78" t="s">
        <v>314</v>
      </c>
      <c r="C89" s="16" t="s">
        <v>317</v>
      </c>
      <c r="D89" s="27" t="s">
        <v>194</v>
      </c>
      <c r="E89" s="76">
        <f>нормы!BH86</f>
        <v>497.28523244235134</v>
      </c>
      <c r="F89" s="76">
        <f>нормы!BJ86</f>
        <v>555.09709552712297</v>
      </c>
      <c r="G89" s="77">
        <f>нормы!BK86</f>
        <v>472.48279379768127</v>
      </c>
    </row>
    <row r="90" spans="1:7" ht="31.5" x14ac:dyDescent="0.25">
      <c r="A90" s="37" t="s">
        <v>157</v>
      </c>
      <c r="B90" s="78" t="s">
        <v>314</v>
      </c>
      <c r="C90" s="16" t="s">
        <v>318</v>
      </c>
      <c r="D90" s="27" t="s">
        <v>194</v>
      </c>
      <c r="E90" s="76">
        <f>нормы!BH87</f>
        <v>497.28523244235134</v>
      </c>
      <c r="F90" s="76">
        <f>нормы!BJ87</f>
        <v>555.09709552712297</v>
      </c>
      <c r="G90" s="77">
        <f>нормы!BK87</f>
        <v>472.48279379768127</v>
      </c>
    </row>
    <row r="91" spans="1:7" ht="31.5" x14ac:dyDescent="0.25">
      <c r="A91" s="37" t="s">
        <v>158</v>
      </c>
      <c r="B91" s="78" t="s">
        <v>314</v>
      </c>
      <c r="C91" s="16" t="s">
        <v>319</v>
      </c>
      <c r="D91" s="27" t="s">
        <v>194</v>
      </c>
      <c r="E91" s="76">
        <f>нормы!BH88</f>
        <v>497.28523244235134</v>
      </c>
      <c r="F91" s="76">
        <f>нормы!BJ88</f>
        <v>555.09709552712297</v>
      </c>
      <c r="G91" s="77">
        <f>нормы!BK88</f>
        <v>472.48279379768127</v>
      </c>
    </row>
    <row r="92" spans="1:7" ht="31.5" x14ac:dyDescent="0.25">
      <c r="A92" s="37" t="s">
        <v>159</v>
      </c>
      <c r="B92" s="78" t="s">
        <v>314</v>
      </c>
      <c r="C92" s="16" t="s">
        <v>360</v>
      </c>
      <c r="D92" s="27" t="s">
        <v>194</v>
      </c>
      <c r="E92" s="76">
        <f>нормы!BH89</f>
        <v>497.28523244235134</v>
      </c>
      <c r="F92" s="76">
        <f>нормы!BJ89</f>
        <v>555.09709552712297</v>
      </c>
      <c r="G92" s="77">
        <f>нормы!BK89</f>
        <v>472.48279379768127</v>
      </c>
    </row>
    <row r="93" spans="1:7" ht="31.5" x14ac:dyDescent="0.25">
      <c r="A93" s="37" t="s">
        <v>160</v>
      </c>
      <c r="B93" s="78" t="s">
        <v>314</v>
      </c>
      <c r="C93" s="16" t="s">
        <v>361</v>
      </c>
      <c r="D93" s="27" t="s">
        <v>194</v>
      </c>
      <c r="E93" s="76">
        <f>нормы!BH90</f>
        <v>497.28523244235134</v>
      </c>
      <c r="F93" s="76">
        <f>нормы!BJ90</f>
        <v>555.09709552712297</v>
      </c>
      <c r="G93" s="77">
        <f>нормы!BK90</f>
        <v>472.48279379768127</v>
      </c>
    </row>
    <row r="94" spans="1:7" ht="31.5" x14ac:dyDescent="0.25">
      <c r="A94" s="37" t="s">
        <v>161</v>
      </c>
      <c r="B94" s="78" t="s">
        <v>314</v>
      </c>
      <c r="C94" s="16" t="s">
        <v>435</v>
      </c>
      <c r="D94" s="27" t="s">
        <v>194</v>
      </c>
      <c r="E94" s="76">
        <f>нормы!BH91</f>
        <v>497.28523244235134</v>
      </c>
      <c r="F94" s="76">
        <f>нормы!BJ91</f>
        <v>555.09709552712297</v>
      </c>
      <c r="G94" s="77">
        <f>нормы!BK91</f>
        <v>472.48279379768127</v>
      </c>
    </row>
    <row r="95" spans="1:7" ht="31.5" x14ac:dyDescent="0.25">
      <c r="A95" s="37" t="s">
        <v>162</v>
      </c>
      <c r="B95" s="78" t="s">
        <v>314</v>
      </c>
      <c r="C95" s="16" t="s">
        <v>379</v>
      </c>
      <c r="D95" s="27" t="s">
        <v>194</v>
      </c>
      <c r="E95" s="76">
        <f>нормы!BH92</f>
        <v>497.28523244235134</v>
      </c>
      <c r="F95" s="76">
        <f>нормы!BJ92</f>
        <v>555.09709552712297</v>
      </c>
      <c r="G95" s="77">
        <f>нормы!BK92</f>
        <v>472.48279379768127</v>
      </c>
    </row>
    <row r="96" spans="1:7" ht="31.5" x14ac:dyDescent="0.25">
      <c r="A96" s="37" t="s">
        <v>163</v>
      </c>
      <c r="B96" s="78" t="s">
        <v>314</v>
      </c>
      <c r="C96" s="16" t="s">
        <v>388</v>
      </c>
      <c r="D96" s="27" t="s">
        <v>194</v>
      </c>
      <c r="E96" s="76">
        <f>нормы!BH93</f>
        <v>497.28523244235134</v>
      </c>
      <c r="F96" s="76">
        <f>нормы!BJ93</f>
        <v>555.09709552712297</v>
      </c>
      <c r="G96" s="77">
        <f>нормы!BK93</f>
        <v>472.48279379768127</v>
      </c>
    </row>
    <row r="97" spans="1:7" ht="31.5" x14ac:dyDescent="0.25">
      <c r="A97" s="37" t="s">
        <v>164</v>
      </c>
      <c r="B97" s="78" t="s">
        <v>283</v>
      </c>
      <c r="C97" s="39" t="s">
        <v>284</v>
      </c>
      <c r="D97" s="27" t="s">
        <v>194</v>
      </c>
      <c r="E97" s="76">
        <f>нормы!BH94</f>
        <v>649.67696854193639</v>
      </c>
      <c r="F97" s="76">
        <f>нормы!BJ94</f>
        <v>707.49427433950802</v>
      </c>
      <c r="G97" s="77">
        <f>нормы!BK94</f>
        <v>624.87219486526635</v>
      </c>
    </row>
    <row r="98" spans="1:7" ht="31.5" x14ac:dyDescent="0.25">
      <c r="A98" s="44">
        <v>81</v>
      </c>
      <c r="B98" s="143" t="s">
        <v>15</v>
      </c>
      <c r="C98" s="39" t="s">
        <v>16</v>
      </c>
      <c r="D98" s="27" t="s">
        <v>194</v>
      </c>
      <c r="E98" s="76">
        <f>нормы!BH95</f>
        <v>758.46974452142126</v>
      </c>
      <c r="F98" s="76">
        <f>нормы!BJ95</f>
        <v>846.7270544668329</v>
      </c>
      <c r="G98" s="77">
        <f>нормы!BK95</f>
        <v>0</v>
      </c>
    </row>
    <row r="99" spans="1:7" ht="47.25" x14ac:dyDescent="0.25">
      <c r="A99" s="44">
        <v>82</v>
      </c>
      <c r="B99" s="143" t="s">
        <v>37</v>
      </c>
      <c r="C99" s="39" t="s">
        <v>7</v>
      </c>
      <c r="D99" s="27" t="s">
        <v>194</v>
      </c>
      <c r="E99" s="76">
        <f>нормы!BH96</f>
        <v>565.91499847484977</v>
      </c>
      <c r="F99" s="76">
        <f>нормы!BJ96</f>
        <v>626.4808742364213</v>
      </c>
      <c r="G99" s="77">
        <f>нормы!BK96</f>
        <v>539.93103363817977</v>
      </c>
    </row>
    <row r="100" spans="1:7" ht="47.25" x14ac:dyDescent="0.25">
      <c r="A100" s="44">
        <v>83</v>
      </c>
      <c r="B100" s="143" t="s">
        <v>70</v>
      </c>
      <c r="C100" s="39" t="s">
        <v>71</v>
      </c>
      <c r="D100" s="27" t="s">
        <v>194</v>
      </c>
      <c r="E100" s="76">
        <f>нормы!BH97</f>
        <v>860.41318862414141</v>
      </c>
      <c r="F100" s="76">
        <f>нормы!BJ97</f>
        <v>936.01851353368102</v>
      </c>
      <c r="G100" s="77">
        <f>нормы!BK97</f>
        <v>827.97700109755135</v>
      </c>
    </row>
    <row r="101" spans="1:7" ht="31.5" x14ac:dyDescent="0.25">
      <c r="A101" s="44">
        <v>84</v>
      </c>
      <c r="B101" s="78" t="s">
        <v>236</v>
      </c>
      <c r="C101" s="39" t="s">
        <v>204</v>
      </c>
      <c r="D101" s="27" t="s">
        <v>194</v>
      </c>
      <c r="E101" s="76">
        <f>нормы!BH98</f>
        <v>575.84654170715908</v>
      </c>
      <c r="F101" s="76">
        <f>нормы!BJ98</f>
        <v>651.3472213919307</v>
      </c>
      <c r="G101" s="77">
        <f>нормы!BK98</f>
        <v>0</v>
      </c>
    </row>
    <row r="102" spans="1:7" ht="31.5" x14ac:dyDescent="0.25">
      <c r="A102" s="44">
        <v>85</v>
      </c>
      <c r="B102" s="78" t="s">
        <v>235</v>
      </c>
      <c r="C102" s="39" t="s">
        <v>205</v>
      </c>
      <c r="D102" s="27" t="s">
        <v>194</v>
      </c>
      <c r="E102" s="76">
        <f>нормы!BH99</f>
        <v>554.64449845970341</v>
      </c>
      <c r="F102" s="76">
        <f>нормы!BJ99</f>
        <v>630.14517814447504</v>
      </c>
      <c r="G102" s="77">
        <f>нормы!BK99</f>
        <v>0</v>
      </c>
    </row>
    <row r="103" spans="1:7" ht="31.5" x14ac:dyDescent="0.25">
      <c r="A103" s="44">
        <v>86</v>
      </c>
      <c r="B103" s="78" t="s">
        <v>235</v>
      </c>
      <c r="C103" s="39" t="s">
        <v>206</v>
      </c>
      <c r="D103" s="27" t="s">
        <v>194</v>
      </c>
      <c r="E103" s="76">
        <f>нормы!BH100</f>
        <v>557.22449845970345</v>
      </c>
      <c r="F103" s="76">
        <f>нормы!BJ100</f>
        <v>632.72517814447508</v>
      </c>
      <c r="G103" s="77">
        <f>нормы!BK100</f>
        <v>0</v>
      </c>
    </row>
    <row r="104" spans="1:7" ht="31.5" x14ac:dyDescent="0.25">
      <c r="A104" s="44">
        <v>87</v>
      </c>
      <c r="B104" s="78" t="s">
        <v>235</v>
      </c>
      <c r="C104" s="39" t="s">
        <v>274</v>
      </c>
      <c r="D104" s="27" t="s">
        <v>194</v>
      </c>
      <c r="E104" s="76">
        <f>нормы!BH101</f>
        <v>554.64449845970341</v>
      </c>
      <c r="F104" s="76">
        <f>нормы!BJ101</f>
        <v>630.14517814447504</v>
      </c>
      <c r="G104" s="77">
        <f>нормы!BK101</f>
        <v>0</v>
      </c>
    </row>
    <row r="105" spans="1:7" ht="31.5" x14ac:dyDescent="0.25">
      <c r="A105" s="44">
        <v>88</v>
      </c>
      <c r="B105" s="78" t="s">
        <v>301</v>
      </c>
      <c r="C105" s="139" t="s">
        <v>305</v>
      </c>
      <c r="D105" s="27" t="s">
        <v>194</v>
      </c>
      <c r="E105" s="76">
        <f>нормы!BH102</f>
        <v>507.77652457555638</v>
      </c>
      <c r="F105" s="76">
        <f>нормы!BJ102</f>
        <v>565.58838766032795</v>
      </c>
      <c r="G105" s="77">
        <f>нормы!BK102</f>
        <v>482.9740859308863</v>
      </c>
    </row>
    <row r="106" spans="1:7" ht="31.5" x14ac:dyDescent="0.25">
      <c r="A106" s="44">
        <v>89</v>
      </c>
      <c r="B106" s="143" t="s">
        <v>302</v>
      </c>
      <c r="C106" s="139" t="s">
        <v>304</v>
      </c>
      <c r="D106" s="27" t="s">
        <v>194</v>
      </c>
      <c r="E106" s="76">
        <f>нормы!BH103</f>
        <v>581.13293657369638</v>
      </c>
      <c r="F106" s="76">
        <f>нормы!BJ103</f>
        <v>656.63361625846801</v>
      </c>
      <c r="G106" s="77">
        <f>нормы!BK103</f>
        <v>0</v>
      </c>
    </row>
    <row r="107" spans="1:7" ht="31.5" x14ac:dyDescent="0.25">
      <c r="A107" s="53">
        <v>90</v>
      </c>
      <c r="B107" s="78" t="s">
        <v>376</v>
      </c>
      <c r="C107" s="16" t="s">
        <v>377</v>
      </c>
      <c r="D107" s="27" t="s">
        <v>194</v>
      </c>
      <c r="E107" s="76">
        <f>нормы!BH104</f>
        <v>577.30649256031131</v>
      </c>
      <c r="F107" s="76">
        <f>нормы!BJ104</f>
        <v>635.11835564508294</v>
      </c>
      <c r="G107" s="77">
        <f>нормы!BK104</f>
        <v>552.50405391564129</v>
      </c>
    </row>
    <row r="108" spans="1:7" ht="31.5" x14ac:dyDescent="0.25">
      <c r="A108" s="37" t="s">
        <v>165</v>
      </c>
      <c r="B108" s="78" t="s">
        <v>380</v>
      </c>
      <c r="C108" s="16" t="s">
        <v>381</v>
      </c>
      <c r="D108" s="27" t="s">
        <v>194</v>
      </c>
      <c r="E108" s="76">
        <f>нормы!BH105</f>
        <v>1560.683907156649</v>
      </c>
      <c r="F108" s="61">
        <f>нормы!BJ105</f>
        <v>1618.4957702414204</v>
      </c>
      <c r="G108" s="77">
        <f>нормы!BK105</f>
        <v>1535.8814685119789</v>
      </c>
    </row>
    <row r="109" spans="1:7" ht="47.25" x14ac:dyDescent="0.25">
      <c r="A109" s="58" t="s">
        <v>391</v>
      </c>
      <c r="B109" s="78" t="s">
        <v>385</v>
      </c>
      <c r="C109" s="16" t="s">
        <v>386</v>
      </c>
      <c r="D109" s="27" t="s">
        <v>194</v>
      </c>
      <c r="E109" s="76">
        <f>нормы!BH108</f>
        <v>1443.5715771497764</v>
      </c>
      <c r="F109" s="61">
        <f>нормы!BJ108</f>
        <v>1518.1361102329479</v>
      </c>
      <c r="G109" s="62">
        <f>нормы!BK108</f>
        <v>1411.5819100091064</v>
      </c>
    </row>
    <row r="110" spans="1:7" ht="31.5" x14ac:dyDescent="0.25">
      <c r="A110" s="37" t="s">
        <v>392</v>
      </c>
      <c r="B110" s="78" t="s">
        <v>213</v>
      </c>
      <c r="C110" s="39" t="s">
        <v>207</v>
      </c>
      <c r="D110" s="27" t="s">
        <v>194</v>
      </c>
      <c r="E110" s="76">
        <f>нормы!BH109</f>
        <v>594.74992256837629</v>
      </c>
      <c r="F110" s="61">
        <f>нормы!BJ109</f>
        <v>672.84496202114792</v>
      </c>
      <c r="G110" s="62">
        <f>нормы!BK109</f>
        <v>0</v>
      </c>
    </row>
    <row r="111" spans="1:7" ht="31.5" x14ac:dyDescent="0.25">
      <c r="A111" s="37" t="s">
        <v>393</v>
      </c>
      <c r="B111" s="78" t="s">
        <v>214</v>
      </c>
      <c r="C111" s="39" t="s">
        <v>208</v>
      </c>
      <c r="D111" s="27" t="s">
        <v>194</v>
      </c>
      <c r="E111" s="76">
        <f>нормы!BH110</f>
        <v>493.93539056837636</v>
      </c>
      <c r="F111" s="61">
        <f>нормы!BJ110</f>
        <v>551.74725365314794</v>
      </c>
      <c r="G111" s="62">
        <f>нормы!BK110</f>
        <v>0</v>
      </c>
    </row>
    <row r="112" spans="1:7" ht="47.25" x14ac:dyDescent="0.25">
      <c r="A112" s="37" t="s">
        <v>394</v>
      </c>
      <c r="B112" s="78" t="s">
        <v>239</v>
      </c>
      <c r="C112" s="39" t="s">
        <v>209</v>
      </c>
      <c r="D112" s="27" t="s">
        <v>194</v>
      </c>
      <c r="E112" s="76">
        <f>нормы!BH111</f>
        <v>577.23641556241137</v>
      </c>
      <c r="F112" s="61">
        <f>нормы!BJ111</f>
        <v>654.60575997518288</v>
      </c>
      <c r="G112" s="62">
        <f>нормы!BK111</f>
        <v>544.04342859774135</v>
      </c>
    </row>
    <row r="113" spans="1:7" ht="47.25" x14ac:dyDescent="0.25">
      <c r="A113" s="37" t="s">
        <v>395</v>
      </c>
      <c r="B113" s="78" t="s">
        <v>237</v>
      </c>
      <c r="C113" s="39" t="s">
        <v>210</v>
      </c>
      <c r="D113" s="27" t="s">
        <v>194</v>
      </c>
      <c r="E113" s="76">
        <f>нормы!BH112</f>
        <v>580.84337556241121</v>
      </c>
      <c r="F113" s="61">
        <f>нормы!BJ112</f>
        <v>658.93841501518284</v>
      </c>
      <c r="G113" s="62">
        <f>нормы!BK112</f>
        <v>547.3390509977412</v>
      </c>
    </row>
    <row r="114" spans="1:7" ht="47.25" x14ac:dyDescent="0.25">
      <c r="A114" s="37" t="s">
        <v>396</v>
      </c>
      <c r="B114" s="78" t="s">
        <v>238</v>
      </c>
      <c r="C114" s="39" t="s">
        <v>211</v>
      </c>
      <c r="D114" s="27" t="s">
        <v>194</v>
      </c>
      <c r="E114" s="76">
        <f>нормы!BH113</f>
        <v>577.23641556241137</v>
      </c>
      <c r="F114" s="61">
        <f>нормы!BJ113</f>
        <v>654.60575997518288</v>
      </c>
      <c r="G114" s="62">
        <f>нормы!BK113</f>
        <v>544.04342859774135</v>
      </c>
    </row>
    <row r="115" spans="1:7" ht="31.5" x14ac:dyDescent="0.25">
      <c r="A115" s="37" t="s">
        <v>397</v>
      </c>
      <c r="B115" s="143" t="s">
        <v>298</v>
      </c>
      <c r="C115" s="39" t="s">
        <v>299</v>
      </c>
      <c r="D115" s="27" t="s">
        <v>194</v>
      </c>
      <c r="E115" s="76">
        <f>нормы!BH114</f>
        <v>551.45477978012104</v>
      </c>
      <c r="F115" s="61">
        <f>нормы!BJ114</f>
        <v>609.26664286489267</v>
      </c>
      <c r="G115" s="62">
        <f>нормы!BK114</f>
        <v>0</v>
      </c>
    </row>
    <row r="116" spans="1:7" ht="31.5" x14ac:dyDescent="0.25">
      <c r="A116" s="37" t="s">
        <v>398</v>
      </c>
      <c r="B116" s="143" t="s">
        <v>341</v>
      </c>
      <c r="C116" s="55" t="s">
        <v>342</v>
      </c>
      <c r="D116" s="27" t="s">
        <v>194</v>
      </c>
      <c r="E116" s="76">
        <f>нормы!BH115</f>
        <v>480.02884356241128</v>
      </c>
      <c r="F116" s="61">
        <f>нормы!BJ115</f>
        <v>537.84070664718286</v>
      </c>
      <c r="G116" s="62">
        <f>нормы!BK115</f>
        <v>455.22640491774121</v>
      </c>
    </row>
    <row r="117" spans="1:7" ht="31.5" x14ac:dyDescent="0.25">
      <c r="A117" s="37" t="s">
        <v>399</v>
      </c>
      <c r="B117" s="143" t="s">
        <v>341</v>
      </c>
      <c r="C117" s="55" t="s">
        <v>343</v>
      </c>
      <c r="D117" s="27" t="s">
        <v>194</v>
      </c>
      <c r="E117" s="76">
        <f>нормы!BH116</f>
        <v>480.02884356241128</v>
      </c>
      <c r="F117" s="61">
        <f>нормы!BJ116</f>
        <v>537.84070664718286</v>
      </c>
      <c r="G117" s="62">
        <f>нормы!BK116</f>
        <v>455.22640491774121</v>
      </c>
    </row>
    <row r="118" spans="1:7" ht="31.5" x14ac:dyDescent="0.25">
      <c r="A118" s="37" t="s">
        <v>400</v>
      </c>
      <c r="B118" s="143" t="s">
        <v>341</v>
      </c>
      <c r="C118" s="55" t="s">
        <v>344</v>
      </c>
      <c r="D118" s="27" t="s">
        <v>194</v>
      </c>
      <c r="E118" s="76">
        <f>нормы!BH117</f>
        <v>480.02884356241128</v>
      </c>
      <c r="F118" s="61">
        <f>нормы!BJ117</f>
        <v>537.84070664718286</v>
      </c>
      <c r="G118" s="62">
        <f>нормы!BK117</f>
        <v>455.22640491774121</v>
      </c>
    </row>
    <row r="119" spans="1:7" ht="31.5" x14ac:dyDescent="0.25">
      <c r="A119" s="44">
        <v>102</v>
      </c>
      <c r="B119" s="143" t="s">
        <v>341</v>
      </c>
      <c r="C119" s="55" t="s">
        <v>345</v>
      </c>
      <c r="D119" s="27" t="s">
        <v>194</v>
      </c>
      <c r="E119" s="76">
        <f>нормы!BH118</f>
        <v>480.02884356241128</v>
      </c>
      <c r="F119" s="61">
        <f>нормы!BJ118</f>
        <v>537.84070664718286</v>
      </c>
      <c r="G119" s="62">
        <f>нормы!BK118</f>
        <v>455.22640491774121</v>
      </c>
    </row>
    <row r="120" spans="1:7" ht="31.5" x14ac:dyDescent="0.25">
      <c r="A120" s="37" t="s">
        <v>401</v>
      </c>
      <c r="B120" s="143" t="s">
        <v>341</v>
      </c>
      <c r="C120" s="55" t="s">
        <v>346</v>
      </c>
      <c r="D120" s="27" t="s">
        <v>194</v>
      </c>
      <c r="E120" s="76">
        <f>нормы!BH119</f>
        <v>480.02884356241128</v>
      </c>
      <c r="F120" s="61">
        <f>нормы!BJ119</f>
        <v>537.84070664718286</v>
      </c>
      <c r="G120" s="62">
        <f>нормы!BK119</f>
        <v>455.22640491774121</v>
      </c>
    </row>
    <row r="121" spans="1:7" ht="31.5" x14ac:dyDescent="0.25">
      <c r="A121" s="37" t="s">
        <v>402</v>
      </c>
      <c r="B121" s="143" t="s">
        <v>341</v>
      </c>
      <c r="C121" s="55" t="s">
        <v>347</v>
      </c>
      <c r="D121" s="27" t="s">
        <v>194</v>
      </c>
      <c r="E121" s="76">
        <f>нормы!BH120</f>
        <v>480.02884356241128</v>
      </c>
      <c r="F121" s="61">
        <f>нормы!BJ120</f>
        <v>537.84070664718286</v>
      </c>
      <c r="G121" s="62">
        <f>нормы!BK120</f>
        <v>455.22640491774121</v>
      </c>
    </row>
    <row r="122" spans="1:7" ht="31.5" x14ac:dyDescent="0.25">
      <c r="A122" s="37" t="s">
        <v>403</v>
      </c>
      <c r="B122" s="143" t="s">
        <v>341</v>
      </c>
      <c r="C122" s="55" t="s">
        <v>348</v>
      </c>
      <c r="D122" s="27" t="s">
        <v>194</v>
      </c>
      <c r="E122" s="76">
        <f>нормы!BH121</f>
        <v>480.02884356241128</v>
      </c>
      <c r="F122" s="61">
        <f>нормы!BJ121</f>
        <v>537.84070664718286</v>
      </c>
      <c r="G122" s="62">
        <f>нормы!BK121</f>
        <v>455.22640491774121</v>
      </c>
    </row>
    <row r="123" spans="1:7" ht="31.5" x14ac:dyDescent="0.25">
      <c r="A123" s="37" t="s">
        <v>404</v>
      </c>
      <c r="B123" s="143" t="s">
        <v>341</v>
      </c>
      <c r="C123" s="55" t="s">
        <v>349</v>
      </c>
      <c r="D123" s="27" t="s">
        <v>194</v>
      </c>
      <c r="E123" s="76">
        <f>нормы!BH122</f>
        <v>480.02884356241128</v>
      </c>
      <c r="F123" s="61">
        <f>нормы!BJ122</f>
        <v>537.84070664718286</v>
      </c>
      <c r="G123" s="62">
        <f>нормы!BK122</f>
        <v>455.22640491774121</v>
      </c>
    </row>
    <row r="124" spans="1:7" ht="31.5" x14ac:dyDescent="0.25">
      <c r="A124" s="37" t="s">
        <v>405</v>
      </c>
      <c r="B124" s="143" t="s">
        <v>341</v>
      </c>
      <c r="C124" s="55" t="s">
        <v>350</v>
      </c>
      <c r="D124" s="27" t="s">
        <v>194</v>
      </c>
      <c r="E124" s="76">
        <f>нормы!BH123</f>
        <v>480.02884356241128</v>
      </c>
      <c r="F124" s="61">
        <f>нормы!BJ123</f>
        <v>537.84070664718286</v>
      </c>
      <c r="G124" s="62">
        <f>нормы!BK123</f>
        <v>455.22640491774121</v>
      </c>
    </row>
    <row r="125" spans="1:7" ht="31.5" x14ac:dyDescent="0.25">
      <c r="A125" s="37" t="s">
        <v>406</v>
      </c>
      <c r="B125" s="143" t="s">
        <v>341</v>
      </c>
      <c r="C125" s="55" t="s">
        <v>351</v>
      </c>
      <c r="D125" s="27" t="s">
        <v>194</v>
      </c>
      <c r="E125" s="76">
        <f>нормы!BH124</f>
        <v>480.02884356241128</v>
      </c>
      <c r="F125" s="61">
        <f>нормы!BJ124</f>
        <v>537.84070664718286</v>
      </c>
      <c r="G125" s="62">
        <f>нормы!BK124</f>
        <v>455.22640491774121</v>
      </c>
    </row>
    <row r="126" spans="1:7" ht="31.5" x14ac:dyDescent="0.25">
      <c r="A126" s="37" t="s">
        <v>407</v>
      </c>
      <c r="B126" s="143" t="s">
        <v>357</v>
      </c>
      <c r="C126" s="39" t="s">
        <v>358</v>
      </c>
      <c r="D126" s="27" t="s">
        <v>194</v>
      </c>
      <c r="E126" s="76">
        <f>нормы!BH125</f>
        <v>555.73477978012102</v>
      </c>
      <c r="F126" s="61">
        <f>нормы!BJ125</f>
        <v>613.54664286489265</v>
      </c>
      <c r="G126" s="62">
        <f>нормы!BK125</f>
        <v>530.932341135451</v>
      </c>
    </row>
    <row r="127" spans="1:7" ht="31.5" x14ac:dyDescent="0.25">
      <c r="A127" s="37" t="s">
        <v>408</v>
      </c>
      <c r="B127" s="78" t="s">
        <v>362</v>
      </c>
      <c r="C127" s="16" t="s">
        <v>363</v>
      </c>
      <c r="D127" s="27" t="s">
        <v>194</v>
      </c>
      <c r="E127" s="76">
        <f>нормы!BH126</f>
        <v>577.53921426541137</v>
      </c>
      <c r="F127" s="61">
        <f>нормы!BJ126</f>
        <v>654.90855867818289</v>
      </c>
      <c r="G127" s="62">
        <f>нормы!BK126</f>
        <v>544.34622730074136</v>
      </c>
    </row>
    <row r="128" spans="1:7" ht="31.5" x14ac:dyDescent="0.25">
      <c r="A128" s="37" t="s">
        <v>409</v>
      </c>
      <c r="B128" s="143" t="s">
        <v>389</v>
      </c>
      <c r="C128" s="39" t="s">
        <v>390</v>
      </c>
      <c r="D128" s="27" t="s">
        <v>194</v>
      </c>
      <c r="E128" s="76">
        <f>нормы!BH127</f>
        <v>558.09477978012103</v>
      </c>
      <c r="F128" s="61">
        <f>нормы!BJ127</f>
        <v>615.90664286489266</v>
      </c>
      <c r="G128" s="62">
        <f>нормы!BK127</f>
        <v>0</v>
      </c>
    </row>
    <row r="129" spans="1:7" ht="31.5" x14ac:dyDescent="0.25">
      <c r="A129" s="37" t="s">
        <v>410</v>
      </c>
      <c r="B129" s="78" t="s">
        <v>292</v>
      </c>
      <c r="C129" s="16" t="s">
        <v>293</v>
      </c>
      <c r="D129" s="27" t="s">
        <v>194</v>
      </c>
      <c r="E129" s="76">
        <f>нормы!BH128</f>
        <v>494.72531645060639</v>
      </c>
      <c r="F129" s="61">
        <f>нормы!BJ128</f>
        <v>552.53717953537796</v>
      </c>
      <c r="G129" s="62">
        <f>нормы!BK128</f>
        <v>469.92287780593631</v>
      </c>
    </row>
    <row r="130" spans="1:7" ht="31.5" x14ac:dyDescent="0.25">
      <c r="A130" s="37" t="s">
        <v>411</v>
      </c>
      <c r="B130" s="78" t="s">
        <v>324</v>
      </c>
      <c r="C130" s="16" t="s">
        <v>325</v>
      </c>
      <c r="D130" s="27" t="s">
        <v>194</v>
      </c>
      <c r="E130" s="76">
        <f>нормы!BH129</f>
        <v>495.7641162712913</v>
      </c>
      <c r="F130" s="61">
        <f>нормы!BJ129</f>
        <v>553.57597935606293</v>
      </c>
      <c r="G130" s="62">
        <f>нормы!BK129</f>
        <v>470.96167762662122</v>
      </c>
    </row>
    <row r="131" spans="1:7" ht="31.5" x14ac:dyDescent="0.25">
      <c r="A131" s="37" t="s">
        <v>412</v>
      </c>
      <c r="B131" s="78" t="s">
        <v>324</v>
      </c>
      <c r="C131" s="16" t="s">
        <v>326</v>
      </c>
      <c r="D131" s="27" t="s">
        <v>194</v>
      </c>
      <c r="E131" s="76">
        <f>нормы!BH130</f>
        <v>495.7641162712913</v>
      </c>
      <c r="F131" s="61">
        <f>нормы!BJ130</f>
        <v>553.57597935606293</v>
      </c>
      <c r="G131" s="62">
        <f>нормы!BK130</f>
        <v>470.96167762662122</v>
      </c>
    </row>
    <row r="132" spans="1:7" ht="31.5" x14ac:dyDescent="0.25">
      <c r="A132" s="37" t="s">
        <v>413</v>
      </c>
      <c r="B132" s="78" t="s">
        <v>324</v>
      </c>
      <c r="C132" s="16" t="s">
        <v>327</v>
      </c>
      <c r="D132" s="27" t="s">
        <v>194</v>
      </c>
      <c r="E132" s="76">
        <f>нормы!BH131</f>
        <v>567.0917502712914</v>
      </c>
      <c r="F132" s="61">
        <f>нормы!BJ131</f>
        <v>639.25423277206301</v>
      </c>
      <c r="G132" s="62">
        <f>нормы!BK131</f>
        <v>536.13261058662135</v>
      </c>
    </row>
    <row r="133" spans="1:7" ht="31.5" x14ac:dyDescent="0.25">
      <c r="A133" s="37" t="s">
        <v>414</v>
      </c>
      <c r="B133" s="78" t="s">
        <v>324</v>
      </c>
      <c r="C133" s="16" t="s">
        <v>328</v>
      </c>
      <c r="D133" s="27" t="s">
        <v>194</v>
      </c>
      <c r="E133" s="76">
        <f>нормы!BH132</f>
        <v>495.7641162712913</v>
      </c>
      <c r="F133" s="61">
        <f>нормы!BJ132</f>
        <v>553.57597935606293</v>
      </c>
      <c r="G133" s="62">
        <f>нормы!BK132</f>
        <v>470.96167762662122</v>
      </c>
    </row>
    <row r="134" spans="1:7" ht="31.5" x14ac:dyDescent="0.25">
      <c r="A134" s="37" t="s">
        <v>415</v>
      </c>
      <c r="B134" s="78" t="s">
        <v>324</v>
      </c>
      <c r="C134" s="16" t="s">
        <v>329</v>
      </c>
      <c r="D134" s="27" t="s">
        <v>194</v>
      </c>
      <c r="E134" s="76">
        <f>нормы!BH133</f>
        <v>506.60411627129128</v>
      </c>
      <c r="F134" s="61">
        <f>нормы!BJ133</f>
        <v>564.41597935606285</v>
      </c>
      <c r="G134" s="62">
        <f>нормы!BK133</f>
        <v>481.8016776266212</v>
      </c>
    </row>
    <row r="135" spans="1:7" ht="31.5" x14ac:dyDescent="0.25">
      <c r="A135" s="54">
        <v>118</v>
      </c>
      <c r="B135" s="78" t="s">
        <v>330</v>
      </c>
      <c r="C135" s="16" t="s">
        <v>331</v>
      </c>
      <c r="D135" s="27" t="s">
        <v>194</v>
      </c>
      <c r="E135" s="76">
        <f>нормы!BH134</f>
        <v>494.72531645060639</v>
      </c>
      <c r="F135" s="61">
        <f>нормы!BJ134</f>
        <v>552.53717953537796</v>
      </c>
      <c r="G135" s="62">
        <f>нормы!BK134</f>
        <v>469.92287780593631</v>
      </c>
    </row>
    <row r="136" spans="1:7" ht="110.25" x14ac:dyDescent="0.25">
      <c r="A136" s="54">
        <v>119</v>
      </c>
      <c r="B136" s="48" t="s">
        <v>364</v>
      </c>
      <c r="C136" s="27"/>
      <c r="D136" s="27"/>
      <c r="E136" s="61"/>
      <c r="F136" s="61"/>
      <c r="G136" s="62"/>
    </row>
    <row r="137" spans="1:7" ht="31.5" x14ac:dyDescent="0.25">
      <c r="A137" s="54"/>
      <c r="B137" s="48" t="s">
        <v>365</v>
      </c>
      <c r="C137" s="27"/>
      <c r="D137" s="27" t="s">
        <v>194</v>
      </c>
      <c r="E137" s="61">
        <f>нормы!BH136</f>
        <v>3068.9700773812797</v>
      </c>
      <c r="F137" s="61">
        <f>нормы!BJ136</f>
        <v>3450.1458540182293</v>
      </c>
      <c r="G137" s="62">
        <f>нормы!BK136</f>
        <v>2905.4380908924591</v>
      </c>
    </row>
    <row r="138" spans="1:7" ht="63" x14ac:dyDescent="0.25">
      <c r="A138" s="54"/>
      <c r="B138" s="56" t="s">
        <v>372</v>
      </c>
      <c r="C138" s="16"/>
      <c r="D138" s="27" t="s">
        <v>194</v>
      </c>
      <c r="E138" s="61">
        <f>нормы!BH140</f>
        <v>4704.7222044796408</v>
      </c>
      <c r="F138" s="61">
        <f>нормы!BJ140</f>
        <v>5085.89798111659</v>
      </c>
      <c r="G138" s="62">
        <f>нормы!BK140</f>
        <v>4541.1902179908202</v>
      </c>
    </row>
    <row r="139" spans="1:7" ht="94.5" x14ac:dyDescent="0.25">
      <c r="A139" s="54">
        <v>120</v>
      </c>
      <c r="B139" s="48" t="s">
        <v>373</v>
      </c>
      <c r="C139" s="27"/>
      <c r="D139" s="27"/>
      <c r="E139" s="61"/>
      <c r="F139" s="61"/>
      <c r="G139" s="62"/>
    </row>
    <row r="140" spans="1:7" ht="31.5" x14ac:dyDescent="0.25">
      <c r="A140" s="54"/>
      <c r="B140" s="48" t="s">
        <v>365</v>
      </c>
      <c r="C140" s="27"/>
      <c r="D140" s="27" t="s">
        <v>194</v>
      </c>
      <c r="E140" s="61">
        <f>нормы!BH142</f>
        <v>1601.7148037530153</v>
      </c>
      <c r="F140" s="61">
        <f>нормы!BJ142</f>
        <v>1793.440860979458</v>
      </c>
      <c r="G140" s="62">
        <f>нормы!BK142</f>
        <v>1519.4605134186852</v>
      </c>
    </row>
    <row r="141" spans="1:7" ht="47.25" x14ac:dyDescent="0.25">
      <c r="A141" s="52"/>
      <c r="B141" s="140" t="s">
        <v>375</v>
      </c>
      <c r="C141" s="51"/>
      <c r="D141" s="27" t="s">
        <v>194</v>
      </c>
      <c r="E141" s="61">
        <f>нормы!BH146</f>
        <v>2407.9925977612143</v>
      </c>
      <c r="F141" s="61">
        <f>нормы!BJ146</f>
        <v>2599.7186549876569</v>
      </c>
      <c r="G141" s="62">
        <f>нормы!BK146</f>
        <v>2325.7383074268841</v>
      </c>
    </row>
    <row r="142" spans="1:7" ht="94.5" x14ac:dyDescent="0.25">
      <c r="A142" s="37" t="s">
        <v>419</v>
      </c>
      <c r="B142" s="27" t="s">
        <v>422</v>
      </c>
      <c r="C142" s="51"/>
      <c r="D142" s="27"/>
      <c r="E142" s="61"/>
      <c r="F142" s="61"/>
      <c r="G142" s="62"/>
    </row>
    <row r="143" spans="1:7" ht="31.5" x14ac:dyDescent="0.25">
      <c r="A143" s="37"/>
      <c r="B143" s="27" t="s">
        <v>365</v>
      </c>
      <c r="C143" s="51"/>
      <c r="D143" s="27" t="s">
        <v>194</v>
      </c>
      <c r="E143" s="61">
        <f>нормы!BH148</f>
        <v>3201.3466168232799</v>
      </c>
      <c r="F143" s="61">
        <f>нормы!BJ148</f>
        <v>3582.5223934602295</v>
      </c>
      <c r="G143" s="62">
        <f>нормы!BK148</f>
        <v>3037.8146303344593</v>
      </c>
    </row>
    <row r="144" spans="1:7" ht="78" customHeight="1" x14ac:dyDescent="0.25">
      <c r="A144" s="37"/>
      <c r="B144" s="56" t="s">
        <v>424</v>
      </c>
      <c r="C144" s="51"/>
      <c r="D144" s="27" t="s">
        <v>194</v>
      </c>
      <c r="E144" s="61">
        <f>нормы!BH152</f>
        <v>4907.6244108314786</v>
      </c>
      <c r="F144" s="61">
        <f>нормы!BJ152</f>
        <v>5288.8001874684287</v>
      </c>
      <c r="G144" s="62">
        <f>нормы!BK152</f>
        <v>4744.092424342658</v>
      </c>
    </row>
    <row r="145" spans="1:7" ht="78" customHeight="1" x14ac:dyDescent="0.25">
      <c r="A145" s="44">
        <v>122</v>
      </c>
      <c r="B145" s="56" t="s">
        <v>427</v>
      </c>
      <c r="C145" s="16" t="s">
        <v>428</v>
      </c>
      <c r="D145" s="27" t="s">
        <v>194</v>
      </c>
      <c r="E145" s="61">
        <f>нормы!BH153</f>
        <v>2268.8959034104114</v>
      </c>
      <c r="F145" s="61">
        <f>нормы!BJ153</f>
        <v>2333.8830762031826</v>
      </c>
      <c r="G145" s="62">
        <f>нормы!BK153</f>
        <v>2241.0151142457412</v>
      </c>
    </row>
    <row r="146" spans="1:7" ht="48" thickBot="1" x14ac:dyDescent="0.3">
      <c r="A146" s="112" t="s">
        <v>467</v>
      </c>
      <c r="B146" s="141" t="s">
        <v>461</v>
      </c>
      <c r="C146" s="110" t="s">
        <v>462</v>
      </c>
      <c r="D146" s="34" t="s">
        <v>194</v>
      </c>
      <c r="E146" s="63">
        <f>нормы!BH154</f>
        <v>1307.2789835167296</v>
      </c>
      <c r="F146" s="63">
        <f>нормы!BJ154</f>
        <v>1380.6137444272292</v>
      </c>
      <c r="G146" s="64">
        <f>нормы!BK154</f>
        <v>1275.8169130877395</v>
      </c>
    </row>
    <row r="147" spans="1:7" x14ac:dyDescent="0.25">
      <c r="A147" s="146"/>
      <c r="B147" s="49"/>
      <c r="C147" s="113"/>
      <c r="D147" s="50"/>
      <c r="E147" s="114"/>
      <c r="F147" s="114"/>
      <c r="G147" s="114"/>
    </row>
    <row r="148" spans="1:7" x14ac:dyDescent="0.25">
      <c r="A148" s="147"/>
    </row>
    <row r="149" spans="1:7" x14ac:dyDescent="0.25">
      <c r="A149" s="163" t="s">
        <v>216</v>
      </c>
      <c r="B149" s="32"/>
      <c r="D149" s="18"/>
      <c r="E149" s="18"/>
      <c r="G149" s="19" t="s">
        <v>217</v>
      </c>
    </row>
    <row r="150" spans="1:7" x14ac:dyDescent="0.25">
      <c r="B150" s="1"/>
    </row>
    <row r="151" spans="1:7" x14ac:dyDescent="0.25">
      <c r="B151" s="1"/>
    </row>
    <row r="152" spans="1:7" x14ac:dyDescent="0.25">
      <c r="B152" s="1"/>
      <c r="G152" s="21"/>
    </row>
    <row r="153" spans="1:7" x14ac:dyDescent="0.25">
      <c r="A153" s="1" t="s">
        <v>5</v>
      </c>
      <c r="B153" s="1"/>
    </row>
    <row r="154" spans="1:7" x14ac:dyDescent="0.25">
      <c r="A154" s="1" t="s">
        <v>5</v>
      </c>
      <c r="B154" s="1"/>
    </row>
    <row r="155" spans="1:7" x14ac:dyDescent="0.25">
      <c r="A155" s="1" t="s">
        <v>476</v>
      </c>
      <c r="B155" s="1"/>
    </row>
    <row r="156" spans="1:7" x14ac:dyDescent="0.25">
      <c r="A156" s="1" t="s">
        <v>268</v>
      </c>
    </row>
  </sheetData>
  <mergeCells count="4">
    <mergeCell ref="A14:G14"/>
    <mergeCell ref="B11:F11"/>
    <mergeCell ref="B12:F12"/>
    <mergeCell ref="A13:G13"/>
  </mergeCells>
  <phoneticPr fontId="0" type="noConversion"/>
  <pageMargins left="0.78740157480314965" right="0.31496062992125984" top="0.78740157480314965" bottom="0.74803149606299213" header="0.15748031496062992" footer="0.15748031496062992"/>
  <pageSetup paperSize="9" scale="86" fitToWidth="0" fitToHeight="0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нормы</vt:lpstr>
      <vt:lpstr>водовозки</vt:lpstr>
      <vt:lpstr>тарифы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Anisimov_AB</cp:lastModifiedBy>
  <cp:lastPrinted>2017-02-21T07:18:52Z</cp:lastPrinted>
  <dcterms:created xsi:type="dcterms:W3CDTF">2004-05-06T06:47:14Z</dcterms:created>
  <dcterms:modified xsi:type="dcterms:W3CDTF">2017-02-27T00:49:10Z</dcterms:modified>
</cp:coreProperties>
</file>