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000" windowHeight="6600" tabRatio="910" firstSheet="1" activeTab="1"/>
  </bookViews>
  <sheets>
    <sheet name="нормы" sheetId="56" state="hidden" r:id="rId1"/>
    <sheet name="тарифы" sheetId="55" r:id="rId2"/>
  </sheets>
  <calcPr calcId="125725"/>
</workbook>
</file>

<file path=xl/calcChain.xml><?xml version="1.0" encoding="utf-8"?>
<calcChain xmlns="http://schemas.openxmlformats.org/spreadsheetml/2006/main">
  <c r="G20" i="55"/>
  <c r="G21"/>
  <c r="G28"/>
  <c r="G32"/>
  <c r="G36"/>
  <c r="G40"/>
  <c r="G44"/>
  <c r="G45"/>
  <c r="G48"/>
  <c r="G51"/>
  <c r="G52"/>
  <c r="G54"/>
  <c r="G56"/>
  <c r="G59"/>
  <c r="G60"/>
  <c r="G61"/>
  <c r="G64"/>
  <c r="G65"/>
  <c r="G68"/>
  <c r="G69"/>
  <c r="G71"/>
  <c r="G73"/>
  <c r="G77"/>
  <c r="G78"/>
  <c r="G80"/>
  <c r="G85"/>
  <c r="G88"/>
  <c r="G90"/>
  <c r="AZ99" i="56"/>
  <c r="AZ98"/>
  <c r="AZ97"/>
  <c r="AW99"/>
  <c r="AP99"/>
  <c r="AQ99"/>
  <c r="AP98"/>
  <c r="AQ98"/>
  <c r="AP97"/>
  <c r="AQ97"/>
  <c r="AJ99"/>
  <c r="AI99"/>
  <c r="Y99"/>
  <c r="O99"/>
  <c r="L99"/>
  <c r="J99"/>
  <c r="H99"/>
  <c r="AJ98"/>
  <c r="AI98"/>
  <c r="AK98"/>
  <c r="AL98"/>
  <c r="Y98"/>
  <c r="O98"/>
  <c r="L98"/>
  <c r="J98"/>
  <c r="H98"/>
  <c r="AJ97"/>
  <c r="AI97"/>
  <c r="Y97"/>
  <c r="O97"/>
  <c r="L97"/>
  <c r="J97"/>
  <c r="H97"/>
  <c r="Y77"/>
  <c r="O77"/>
  <c r="L77"/>
  <c r="J77"/>
  <c r="H77"/>
  <c r="Y86"/>
  <c r="O86"/>
  <c r="L86"/>
  <c r="J86"/>
  <c r="H86"/>
  <c r="Y96"/>
  <c r="O96"/>
  <c r="L96"/>
  <c r="J96"/>
  <c r="H96"/>
  <c r="AL95"/>
  <c r="AM95"/>
  <c r="Y95"/>
  <c r="O95"/>
  <c r="L95"/>
  <c r="J95"/>
  <c r="H95"/>
  <c r="Y94"/>
  <c r="O94"/>
  <c r="L94"/>
  <c r="J94"/>
  <c r="H94"/>
  <c r="AL93"/>
  <c r="AM93"/>
  <c r="Y93"/>
  <c r="O93"/>
  <c r="L93"/>
  <c r="J93"/>
  <c r="H93"/>
  <c r="AL91"/>
  <c r="AM91"/>
  <c r="Y91"/>
  <c r="O91"/>
  <c r="L91"/>
  <c r="J91"/>
  <c r="H91"/>
  <c r="AK90"/>
  <c r="AJ90"/>
  <c r="Y90"/>
  <c r="O90"/>
  <c r="S90"/>
  <c r="L90"/>
  <c r="J90"/>
  <c r="H90"/>
  <c r="AW89"/>
  <c r="AK89"/>
  <c r="AJ89"/>
  <c r="AL89"/>
  <c r="AQ89"/>
  <c r="Y89"/>
  <c r="O89"/>
  <c r="L89"/>
  <c r="J89"/>
  <c r="H89"/>
  <c r="AJ88"/>
  <c r="AI88"/>
  <c r="AK88"/>
  <c r="Y88"/>
  <c r="O88"/>
  <c r="U88"/>
  <c r="L88"/>
  <c r="J88"/>
  <c r="S88"/>
  <c r="H88"/>
  <c r="AJ87"/>
  <c r="AI87"/>
  <c r="Y87"/>
  <c r="O87"/>
  <c r="L87"/>
  <c r="J87"/>
  <c r="H87"/>
  <c r="AJ86"/>
  <c r="AI86"/>
  <c r="AK86"/>
  <c r="AL86"/>
  <c r="AJ85"/>
  <c r="AI85"/>
  <c r="AK85"/>
  <c r="Y85"/>
  <c r="L85"/>
  <c r="J85"/>
  <c r="H85"/>
  <c r="S85"/>
  <c r="AJ84"/>
  <c r="AI84"/>
  <c r="AK84"/>
  <c r="Y84"/>
  <c r="J84"/>
  <c r="L84"/>
  <c r="AJ83"/>
  <c r="AI83"/>
  <c r="AK83"/>
  <c r="Y83"/>
  <c r="L83"/>
  <c r="H83"/>
  <c r="Y65"/>
  <c r="O65"/>
  <c r="S65"/>
  <c r="L65"/>
  <c r="J65"/>
  <c r="H65"/>
  <c r="Y67"/>
  <c r="O67"/>
  <c r="L67"/>
  <c r="J67"/>
  <c r="H67"/>
  <c r="Y72"/>
  <c r="O72"/>
  <c r="L72"/>
  <c r="J72"/>
  <c r="S72"/>
  <c r="H72"/>
  <c r="Y70"/>
  <c r="Y82"/>
  <c r="O82"/>
  <c r="L82"/>
  <c r="J82"/>
  <c r="H82"/>
  <c r="AL81"/>
  <c r="AM81"/>
  <c r="Y81"/>
  <c r="O81"/>
  <c r="S81"/>
  <c r="L81"/>
  <c r="J81"/>
  <c r="H81"/>
  <c r="Y80"/>
  <c r="O80"/>
  <c r="L80"/>
  <c r="J80"/>
  <c r="H80"/>
  <c r="S80"/>
  <c r="AL79"/>
  <c r="AM79"/>
  <c r="Y79"/>
  <c r="O79"/>
  <c r="S79"/>
  <c r="L79"/>
  <c r="J79"/>
  <c r="H79"/>
  <c r="AW77"/>
  <c r="AL77"/>
  <c r="AQ77"/>
  <c r="AW76"/>
  <c r="AL76"/>
  <c r="AQ76"/>
  <c r="Y76"/>
  <c r="L76"/>
  <c r="AW75"/>
  <c r="AL75"/>
  <c r="AQ75"/>
  <c r="Y75"/>
  <c r="L75"/>
  <c r="J75"/>
  <c r="H75"/>
  <c r="AA43"/>
  <c r="Z43"/>
  <c r="Y74"/>
  <c r="Y73"/>
  <c r="Y71"/>
  <c r="Y69"/>
  <c r="Y66"/>
  <c r="Y64"/>
  <c r="Y62"/>
  <c r="Y61"/>
  <c r="Y60"/>
  <c r="Y59"/>
  <c r="Y58"/>
  <c r="Y57"/>
  <c r="Y56"/>
  <c r="Y55"/>
  <c r="Y53"/>
  <c r="Y52"/>
  <c r="Y51"/>
  <c r="Y50"/>
  <c r="Y48"/>
  <c r="Y47"/>
  <c r="Y45"/>
  <c r="Y44"/>
  <c r="Y43"/>
  <c r="AB43"/>
  <c r="Y42"/>
  <c r="Y41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AQ62"/>
  <c r="O74"/>
  <c r="L74"/>
  <c r="J74"/>
  <c r="H74"/>
  <c r="AL73"/>
  <c r="AM73"/>
  <c r="O73"/>
  <c r="L73"/>
  <c r="J73"/>
  <c r="H73"/>
  <c r="O70"/>
  <c r="L70"/>
  <c r="J70"/>
  <c r="H70"/>
  <c r="AL71"/>
  <c r="AM71"/>
  <c r="O71"/>
  <c r="L71"/>
  <c r="J71"/>
  <c r="H71"/>
  <c r="AL69"/>
  <c r="AM69"/>
  <c r="O69"/>
  <c r="L69"/>
  <c r="J69"/>
  <c r="H69"/>
  <c r="S69"/>
  <c r="AL66"/>
  <c r="AM66"/>
  <c r="O66"/>
  <c r="L66"/>
  <c r="S66"/>
  <c r="J66"/>
  <c r="H66"/>
  <c r="AL64"/>
  <c r="AM64"/>
  <c r="O64"/>
  <c r="L64"/>
  <c r="J64"/>
  <c r="H64"/>
  <c r="AL61"/>
  <c r="AM61"/>
  <c r="AL58"/>
  <c r="AM58"/>
  <c r="O56"/>
  <c r="L56"/>
  <c r="J56"/>
  <c r="H56"/>
  <c r="O55"/>
  <c r="L55"/>
  <c r="J55"/>
  <c r="S55"/>
  <c r="H55"/>
  <c r="AI53"/>
  <c r="AW52"/>
  <c r="AI52"/>
  <c r="AL52"/>
  <c r="AK52"/>
  <c r="O57"/>
  <c r="S57"/>
  <c r="L57"/>
  <c r="J57"/>
  <c r="H57"/>
  <c r="O53"/>
  <c r="S53"/>
  <c r="L53"/>
  <c r="J53"/>
  <c r="H53"/>
  <c r="O52"/>
  <c r="L52"/>
  <c r="J52"/>
  <c r="H52"/>
  <c r="O39"/>
  <c r="S39"/>
  <c r="L39"/>
  <c r="J39"/>
  <c r="H39"/>
  <c r="AL59"/>
  <c r="AL57"/>
  <c r="AL56"/>
  <c r="AM56"/>
  <c r="AL55"/>
  <c r="AM55"/>
  <c r="AL51"/>
  <c r="AM51"/>
  <c r="AL50"/>
  <c r="AM50"/>
  <c r="AL48"/>
  <c r="AM48"/>
  <c r="AL47"/>
  <c r="AM47"/>
  <c r="AL45"/>
  <c r="AM45"/>
  <c r="AL44"/>
  <c r="AM44"/>
  <c r="AL42"/>
  <c r="AM42"/>
  <c r="AL41"/>
  <c r="AM41"/>
  <c r="AL39"/>
  <c r="AM39"/>
  <c r="AL38"/>
  <c r="AM38"/>
  <c r="AL37"/>
  <c r="AM37"/>
  <c r="AL36"/>
  <c r="AM36"/>
  <c r="AM59"/>
  <c r="AM57"/>
  <c r="AL35"/>
  <c r="AM35"/>
  <c r="AM62"/>
  <c r="AI34"/>
  <c r="AK34"/>
  <c r="AL34"/>
  <c r="AI33"/>
  <c r="AK33"/>
  <c r="AI32"/>
  <c r="AK32"/>
  <c r="AI31"/>
  <c r="AK31"/>
  <c r="AI30"/>
  <c r="AK30"/>
  <c r="AI29"/>
  <c r="AK29"/>
  <c r="AI28"/>
  <c r="AI27"/>
  <c r="AK27"/>
  <c r="AL27"/>
  <c r="AI26"/>
  <c r="AI25"/>
  <c r="AI24"/>
  <c r="AK24"/>
  <c r="AI23"/>
  <c r="AK23"/>
  <c r="AL23"/>
  <c r="AI22"/>
  <c r="AI21"/>
  <c r="AK21"/>
  <c r="AL21"/>
  <c r="AM21"/>
  <c r="AI20"/>
  <c r="AL20"/>
  <c r="AM20"/>
  <c r="AK20"/>
  <c r="AI19"/>
  <c r="AK19"/>
  <c r="AI18"/>
  <c r="AK18"/>
  <c r="AL18"/>
  <c r="AI17"/>
  <c r="AK17"/>
  <c r="AL17"/>
  <c r="AI16"/>
  <c r="AK16"/>
  <c r="AL16"/>
  <c r="AM16"/>
  <c r="AI15"/>
  <c r="AI14"/>
  <c r="AK14"/>
  <c r="AL14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O62"/>
  <c r="L62"/>
  <c r="S62"/>
  <c r="J62"/>
  <c r="H62"/>
  <c r="O60"/>
  <c r="L60"/>
  <c r="J60"/>
  <c r="H60"/>
  <c r="O59"/>
  <c r="L59"/>
  <c r="S59"/>
  <c r="J59"/>
  <c r="H59"/>
  <c r="O58"/>
  <c r="L58"/>
  <c r="S58"/>
  <c r="J58"/>
  <c r="H58"/>
  <c r="O61"/>
  <c r="L61"/>
  <c r="J61"/>
  <c r="H61"/>
  <c r="O51"/>
  <c r="L51"/>
  <c r="S51"/>
  <c r="J51"/>
  <c r="H51"/>
  <c r="O50"/>
  <c r="L50"/>
  <c r="J50"/>
  <c r="H50"/>
  <c r="O48"/>
  <c r="L48"/>
  <c r="J48"/>
  <c r="H48"/>
  <c r="O47"/>
  <c r="L47"/>
  <c r="J47"/>
  <c r="H47"/>
  <c r="O45"/>
  <c r="L45"/>
  <c r="S45"/>
  <c r="J45"/>
  <c r="H45"/>
  <c r="O44"/>
  <c r="L44"/>
  <c r="J44"/>
  <c r="H44"/>
  <c r="O38"/>
  <c r="L38"/>
  <c r="S38"/>
  <c r="J38"/>
  <c r="H38"/>
  <c r="O42"/>
  <c r="L42"/>
  <c r="S42"/>
  <c r="J42"/>
  <c r="H42"/>
  <c r="O41"/>
  <c r="L41"/>
  <c r="J41"/>
  <c r="H41"/>
  <c r="O22"/>
  <c r="L22"/>
  <c r="J22"/>
  <c r="H22"/>
  <c r="O20"/>
  <c r="L20"/>
  <c r="J20"/>
  <c r="H20"/>
  <c r="O19"/>
  <c r="L19"/>
  <c r="S19"/>
  <c r="J19"/>
  <c r="H19"/>
  <c r="O18"/>
  <c r="L18"/>
  <c r="J18"/>
  <c r="H18"/>
  <c r="O37"/>
  <c r="L37"/>
  <c r="J37"/>
  <c r="H37"/>
  <c r="O36"/>
  <c r="L36"/>
  <c r="J36"/>
  <c r="H36"/>
  <c r="O35"/>
  <c r="L35"/>
  <c r="J35"/>
  <c r="H35"/>
  <c r="O34"/>
  <c r="L34"/>
  <c r="J34"/>
  <c r="H34"/>
  <c r="O33"/>
  <c r="L33"/>
  <c r="J33"/>
  <c r="H33"/>
  <c r="S33"/>
  <c r="O32"/>
  <c r="L32"/>
  <c r="J32"/>
  <c r="H32"/>
  <c r="O31"/>
  <c r="L31"/>
  <c r="J31"/>
  <c r="H31"/>
  <c r="O30"/>
  <c r="L30"/>
  <c r="J30"/>
  <c r="H30"/>
  <c r="O29"/>
  <c r="L29"/>
  <c r="J29"/>
  <c r="H29"/>
  <c r="O28"/>
  <c r="S28"/>
  <c r="L28"/>
  <c r="J28"/>
  <c r="H28"/>
  <c r="O27"/>
  <c r="S27"/>
  <c r="L27"/>
  <c r="J27"/>
  <c r="H27"/>
  <c r="O23"/>
  <c r="L23"/>
  <c r="J23"/>
  <c r="H23"/>
  <c r="S23"/>
  <c r="O25"/>
  <c r="L25"/>
  <c r="J25"/>
  <c r="H25"/>
  <c r="O24"/>
  <c r="L24"/>
  <c r="J24"/>
  <c r="H24"/>
  <c r="O21"/>
  <c r="L21"/>
  <c r="J21"/>
  <c r="H21"/>
  <c r="O17"/>
  <c r="L17"/>
  <c r="J17"/>
  <c r="H17"/>
  <c r="O16"/>
  <c r="L16"/>
  <c r="J16"/>
  <c r="H16"/>
  <c r="S16"/>
  <c r="O15"/>
  <c r="L15"/>
  <c r="J15"/>
  <c r="H15"/>
  <c r="H14"/>
  <c r="J14"/>
  <c r="L14"/>
  <c r="O14"/>
  <c r="AW14"/>
  <c r="H26"/>
  <c r="J26"/>
  <c r="L26"/>
  <c r="O26"/>
  <c r="AK60"/>
  <c r="AL60"/>
  <c r="AM60"/>
  <c r="J76"/>
  <c r="H76"/>
  <c r="O76"/>
  <c r="O75"/>
  <c r="O83"/>
  <c r="H84"/>
  <c r="O84"/>
  <c r="S84"/>
  <c r="J83"/>
  <c r="O85"/>
  <c r="AL19"/>
  <c r="AK25"/>
  <c r="AL25"/>
  <c r="AK15"/>
  <c r="AK87"/>
  <c r="AL87"/>
  <c r="AM87"/>
  <c r="AM75"/>
  <c r="AL31"/>
  <c r="AM31"/>
  <c r="AQ20"/>
  <c r="AM89"/>
  <c r="AL33"/>
  <c r="U80"/>
  <c r="W80"/>
  <c r="X80"/>
  <c r="AL88"/>
  <c r="AQ17"/>
  <c r="AM17"/>
  <c r="AL83"/>
  <c r="AM83"/>
  <c r="S87"/>
  <c r="U87"/>
  <c r="S96"/>
  <c r="S86"/>
  <c r="U86"/>
  <c r="W86"/>
  <c r="U45"/>
  <c r="W45"/>
  <c r="AQ31"/>
  <c r="S36"/>
  <c r="AL90"/>
  <c r="AM90"/>
  <c r="AM86"/>
  <c r="AP86"/>
  <c r="AQ86"/>
  <c r="AM76"/>
  <c r="U85"/>
  <c r="W85"/>
  <c r="U59"/>
  <c r="W59"/>
  <c r="U55"/>
  <c r="W55"/>
  <c r="S73"/>
  <c r="AL85"/>
  <c r="AQ87"/>
  <c r="U38"/>
  <c r="AM77"/>
  <c r="S21"/>
  <c r="AL15"/>
  <c r="AQ15"/>
  <c r="U57"/>
  <c r="U69"/>
  <c r="W69"/>
  <c r="S70"/>
  <c r="S89"/>
  <c r="S97"/>
  <c r="AQ19"/>
  <c r="AM19"/>
  <c r="AQ60"/>
  <c r="S93"/>
  <c r="U93"/>
  <c r="W93"/>
  <c r="S35"/>
  <c r="AK22"/>
  <c r="AL22"/>
  <c r="AL24"/>
  <c r="S71"/>
  <c r="U71"/>
  <c r="W71"/>
  <c r="S44"/>
  <c r="AL30"/>
  <c r="U81"/>
  <c r="X81"/>
  <c r="AA81"/>
  <c r="S94"/>
  <c r="U94"/>
  <c r="W94"/>
  <c r="X94"/>
  <c r="S41"/>
  <c r="AL29"/>
  <c r="AM29"/>
  <c r="AL84"/>
  <c r="AM84"/>
  <c r="S77"/>
  <c r="S99"/>
  <c r="U99"/>
  <c r="AM98"/>
  <c r="AK99"/>
  <c r="AL99"/>
  <c r="AM99"/>
  <c r="AM88"/>
  <c r="AQ88"/>
  <c r="W87"/>
  <c r="X69"/>
  <c r="U35"/>
  <c r="W35"/>
  <c r="AQ83"/>
  <c r="U96"/>
  <c r="AQ90"/>
  <c r="W81"/>
  <c r="AQ24"/>
  <c r="AM24"/>
  <c r="AQ16"/>
  <c r="AM15"/>
  <c r="Z69"/>
  <c r="X55"/>
  <c r="AA55"/>
  <c r="U79"/>
  <c r="W79"/>
  <c r="AQ84"/>
  <c r="AQ30"/>
  <c r="AM30"/>
  <c r="AQ21"/>
  <c r="U23"/>
  <c r="W23"/>
  <c r="X93"/>
  <c r="X86"/>
  <c r="Z86"/>
  <c r="X35"/>
  <c r="X87"/>
  <c r="Z55"/>
  <c r="Z93"/>
  <c r="AB93"/>
  <c r="AA93"/>
  <c r="Z94"/>
  <c r="AA94"/>
  <c r="AB94"/>
  <c r="AC94"/>
  <c r="Z80"/>
  <c r="X79"/>
  <c r="Z87"/>
  <c r="Z35"/>
  <c r="AB35"/>
  <c r="AA35"/>
  <c r="Z79"/>
  <c r="AB79"/>
  <c r="AA79"/>
  <c r="AQ34"/>
  <c r="AM34"/>
  <c r="W57"/>
  <c r="X57"/>
  <c r="AQ33"/>
  <c r="AM33"/>
  <c r="AQ52"/>
  <c r="AM52"/>
  <c r="W88"/>
  <c r="X88"/>
  <c r="S91"/>
  <c r="U91"/>
  <c r="W91"/>
  <c r="BD93"/>
  <c r="AE93"/>
  <c r="AC93"/>
  <c r="BC93"/>
  <c r="AB87"/>
  <c r="AA69"/>
  <c r="AB69"/>
  <c r="AM85"/>
  <c r="AQ85"/>
  <c r="U16"/>
  <c r="W16"/>
  <c r="Z81"/>
  <c r="AB81"/>
  <c r="W38"/>
  <c r="X38"/>
  <c r="U89"/>
  <c r="W89"/>
  <c r="X89"/>
  <c r="AK28"/>
  <c r="AL28"/>
  <c r="AK97"/>
  <c r="AL97"/>
  <c r="AM97"/>
  <c r="U98"/>
  <c r="W98"/>
  <c r="AC79"/>
  <c r="AE79"/>
  <c r="AB86"/>
  <c r="AB55"/>
  <c r="BD35"/>
  <c r="AE35"/>
  <c r="AC35"/>
  <c r="BC35"/>
  <c r="AA86"/>
  <c r="W96"/>
  <c r="X96"/>
  <c r="AQ22"/>
  <c r="AM22"/>
  <c r="AA80"/>
  <c r="AB80"/>
  <c r="AQ25"/>
  <c r="AM25"/>
  <c r="S75"/>
  <c r="U26"/>
  <c r="W26"/>
  <c r="S25"/>
  <c r="X25"/>
  <c r="U25"/>
  <c r="W25"/>
  <c r="U20"/>
  <c r="W20"/>
  <c r="U41"/>
  <c r="S67"/>
  <c r="U67"/>
  <c r="AA87"/>
  <c r="U70"/>
  <c r="W70"/>
  <c r="U39"/>
  <c r="X85"/>
  <c r="U42"/>
  <c r="S76"/>
  <c r="U84"/>
  <c r="S24"/>
  <c r="S29"/>
  <c r="U29"/>
  <c r="W29"/>
  <c r="S30"/>
  <c r="U30"/>
  <c r="W30"/>
  <c r="S31"/>
  <c r="U31"/>
  <c r="W31"/>
  <c r="X31"/>
  <c r="S32"/>
  <c r="U33"/>
  <c r="W33"/>
  <c r="X33"/>
  <c r="AQ27"/>
  <c r="AM27"/>
  <c r="AK53"/>
  <c r="AL53"/>
  <c r="S82"/>
  <c r="U82"/>
  <c r="W82"/>
  <c r="U77"/>
  <c r="W77"/>
  <c r="X26"/>
  <c r="S26"/>
  <c r="U62"/>
  <c r="W62"/>
  <c r="AM18"/>
  <c r="AQ18"/>
  <c r="AQ23"/>
  <c r="AM23"/>
  <c r="AK26"/>
  <c r="AL26"/>
  <c r="AL32"/>
  <c r="X23"/>
  <c r="AQ29"/>
  <c r="X99"/>
  <c r="W99"/>
  <c r="U44"/>
  <c r="W44"/>
  <c r="U72"/>
  <c r="W72"/>
  <c r="X97"/>
  <c r="U97"/>
  <c r="W97"/>
  <c r="U21"/>
  <c r="W21"/>
  <c r="U19"/>
  <c r="W19"/>
  <c r="AM14"/>
  <c r="AQ14"/>
  <c r="S56"/>
  <c r="U56"/>
  <c r="S64"/>
  <c r="U64"/>
  <c r="W64"/>
  <c r="X71"/>
  <c r="U73"/>
  <c r="W73"/>
  <c r="S74"/>
  <c r="S14"/>
  <c r="S17"/>
  <c r="X27"/>
  <c r="U28"/>
  <c r="W28"/>
  <c r="X28"/>
  <c r="S34"/>
  <c r="U36"/>
  <c r="W36"/>
  <c r="S37"/>
  <c r="U37"/>
  <c r="W37"/>
  <c r="S18"/>
  <c r="U18"/>
  <c r="W18"/>
  <c r="S22"/>
  <c r="U22"/>
  <c r="W22"/>
  <c r="X45"/>
  <c r="S47"/>
  <c r="U47"/>
  <c r="W47"/>
  <c r="U51"/>
  <c r="W51"/>
  <c r="X51"/>
  <c r="S61"/>
  <c r="U61"/>
  <c r="U58"/>
  <c r="X59"/>
  <c r="S60"/>
  <c r="S52"/>
  <c r="U52"/>
  <c r="W52"/>
  <c r="U53"/>
  <c r="U65"/>
  <c r="W65"/>
  <c r="S83"/>
  <c r="U83"/>
  <c r="X90"/>
  <c r="U90"/>
  <c r="W90"/>
  <c r="S95"/>
  <c r="U95"/>
  <c r="W95"/>
  <c r="S98"/>
  <c r="X98"/>
  <c r="U27"/>
  <c r="W27"/>
  <c r="S48"/>
  <c r="U48"/>
  <c r="W48"/>
  <c r="S20"/>
  <c r="X20"/>
  <c r="S50"/>
  <c r="U50"/>
  <c r="W50"/>
  <c r="S15"/>
  <c r="X15"/>
  <c r="U15"/>
  <c r="W15"/>
  <c r="X16"/>
  <c r="X52"/>
  <c r="U66"/>
  <c r="W66"/>
  <c r="X66"/>
  <c r="BE35"/>
  <c r="F40" i="55"/>
  <c r="E40"/>
  <c r="BF35" i="56"/>
  <c r="AA15"/>
  <c r="Z15"/>
  <c r="AB15"/>
  <c r="Z38"/>
  <c r="AB38"/>
  <c r="AA38"/>
  <c r="E91" i="55"/>
  <c r="BF93" i="56"/>
  <c r="BE93"/>
  <c r="F91" i="55"/>
  <c r="G91" s="1"/>
  <c r="W61" i="56"/>
  <c r="X61"/>
  <c r="W56"/>
  <c r="X56"/>
  <c r="W67"/>
  <c r="X67"/>
  <c r="AA25"/>
  <c r="Z25"/>
  <c r="AB25"/>
  <c r="AA96"/>
  <c r="Z96"/>
  <c r="AB96"/>
  <c r="AC96"/>
  <c r="AE81"/>
  <c r="AC81"/>
  <c r="AD81"/>
  <c r="AB20"/>
  <c r="AA20"/>
  <c r="Z20"/>
  <c r="W83"/>
  <c r="X83"/>
  <c r="AQ53"/>
  <c r="AM53"/>
  <c r="AE80"/>
  <c r="AC80"/>
  <c r="BD79"/>
  <c r="Z52"/>
  <c r="AB52"/>
  <c r="AA52"/>
  <c r="AA98"/>
  <c r="Z98"/>
  <c r="AB98"/>
  <c r="AA90"/>
  <c r="Z90"/>
  <c r="AB90"/>
  <c r="W58"/>
  <c r="X58"/>
  <c r="X50"/>
  <c r="AA27"/>
  <c r="AB27"/>
  <c r="Z27"/>
  <c r="AM26"/>
  <c r="AQ26"/>
  <c r="X22"/>
  <c r="Z33"/>
  <c r="AA33"/>
  <c r="AB33"/>
  <c r="AA31"/>
  <c r="Z31"/>
  <c r="AB31"/>
  <c r="U76"/>
  <c r="W76"/>
  <c r="U14"/>
  <c r="W14"/>
  <c r="W39"/>
  <c r="X39"/>
  <c r="U60"/>
  <c r="W60"/>
  <c r="BC79"/>
  <c r="Z89"/>
  <c r="AB89"/>
  <c r="AA89"/>
  <c r="X82"/>
  <c r="BD69"/>
  <c r="AE69"/>
  <c r="AC69"/>
  <c r="Z57"/>
  <c r="AB57"/>
  <c r="AA57"/>
  <c r="X36"/>
  <c r="Z16"/>
  <c r="AB16"/>
  <c r="AA16"/>
  <c r="X62"/>
  <c r="U17"/>
  <c r="W17"/>
  <c r="X73"/>
  <c r="X64"/>
  <c r="X29"/>
  <c r="W84"/>
  <c r="X84"/>
  <c r="X37"/>
  <c r="X95"/>
  <c r="BD55"/>
  <c r="AE55"/>
  <c r="AC55"/>
  <c r="BC55"/>
  <c r="X47"/>
  <c r="Z66"/>
  <c r="AA66"/>
  <c r="AB66"/>
  <c r="X48"/>
  <c r="AA51"/>
  <c r="Z51"/>
  <c r="AB51"/>
  <c r="Z28"/>
  <c r="AA28"/>
  <c r="AB28"/>
  <c r="AB97"/>
  <c r="AA97"/>
  <c r="Z97"/>
  <c r="Z99"/>
  <c r="AB99"/>
  <c r="AA99"/>
  <c r="Z23"/>
  <c r="AA23"/>
  <c r="AB23"/>
  <c r="Z26"/>
  <c r="AA26"/>
  <c r="AB26"/>
  <c r="X32"/>
  <c r="X18"/>
  <c r="X44"/>
  <c r="AE86"/>
  <c r="BD86"/>
  <c r="AC86"/>
  <c r="AD86"/>
  <c r="BC86"/>
  <c r="AM28"/>
  <c r="AQ28"/>
  <c r="X21"/>
  <c r="BD87"/>
  <c r="AE87"/>
  <c r="AC87"/>
  <c r="BC87"/>
  <c r="AD87"/>
  <c r="Z88"/>
  <c r="AB88"/>
  <c r="AA88"/>
  <c r="X53"/>
  <c r="W53"/>
  <c r="Z59"/>
  <c r="AA59"/>
  <c r="AB59"/>
  <c r="Z45"/>
  <c r="AA45"/>
  <c r="AB45"/>
  <c r="U74"/>
  <c r="W74"/>
  <c r="AA71"/>
  <c r="Z71"/>
  <c r="AB71"/>
  <c r="X19"/>
  <c r="AQ32"/>
  <c r="AM32"/>
  <c r="X77"/>
  <c r="U34"/>
  <c r="W34"/>
  <c r="U32"/>
  <c r="W32"/>
  <c r="X30"/>
  <c r="U24"/>
  <c r="W24"/>
  <c r="W42"/>
  <c r="X42"/>
  <c r="AA85"/>
  <c r="Z85"/>
  <c r="AB85"/>
  <c r="X72"/>
  <c r="W41"/>
  <c r="X41"/>
  <c r="U75"/>
  <c r="W75"/>
  <c r="X65"/>
  <c r="X70"/>
  <c r="X91"/>
  <c r="Z42"/>
  <c r="AB42"/>
  <c r="AA42"/>
  <c r="BD45"/>
  <c r="AE45"/>
  <c r="AC45"/>
  <c r="AD45"/>
  <c r="BC45"/>
  <c r="BD88"/>
  <c r="AE88"/>
  <c r="AC88"/>
  <c r="AD88"/>
  <c r="BC88"/>
  <c r="E84" i="55"/>
  <c r="BF86" i="56"/>
  <c r="BE86"/>
  <c r="F84" i="55"/>
  <c r="G84" s="1"/>
  <c r="BD66" i="56"/>
  <c r="AE66"/>
  <c r="AC66"/>
  <c r="Z58"/>
  <c r="AB58"/>
  <c r="AA58"/>
  <c r="AE71"/>
  <c r="BD71"/>
  <c r="AC71"/>
  <c r="BC71"/>
  <c r="AE51"/>
  <c r="AC51"/>
  <c r="BC51"/>
  <c r="BD51"/>
  <c r="AD51"/>
  <c r="BD16"/>
  <c r="BC16"/>
  <c r="AD16"/>
  <c r="AE16"/>
  <c r="AC16"/>
  <c r="AE31"/>
  <c r="AD31"/>
  <c r="AC31"/>
  <c r="BC31"/>
  <c r="BD31"/>
  <c r="BD90"/>
  <c r="AE90"/>
  <c r="AC90"/>
  <c r="BC90"/>
  <c r="AD90"/>
  <c r="BD85"/>
  <c r="AC85"/>
  <c r="BC85"/>
  <c r="AE85"/>
  <c r="E85" i="55"/>
  <c r="BF87" i="56"/>
  <c r="BE87"/>
  <c r="F85" i="55"/>
  <c r="AE23" i="56"/>
  <c r="BD23"/>
  <c r="AD23"/>
  <c r="AC23"/>
  <c r="BC23"/>
  <c r="AA39"/>
  <c r="AB39"/>
  <c r="Z39"/>
  <c r="BD27"/>
  <c r="AE27"/>
  <c r="AC27"/>
  <c r="BC27"/>
  <c r="AD27"/>
  <c r="BD52"/>
  <c r="AE52"/>
  <c r="AC52"/>
  <c r="BC52"/>
  <c r="BD89"/>
  <c r="BC89"/>
  <c r="AC89"/>
  <c r="AE89"/>
  <c r="AD89"/>
  <c r="BD98"/>
  <c r="AC98"/>
  <c r="BC98"/>
  <c r="AE98"/>
  <c r="AD98"/>
  <c r="BD38"/>
  <c r="AE38"/>
  <c r="AD38"/>
  <c r="BC38"/>
  <c r="AC38"/>
  <c r="AA19"/>
  <c r="Z19"/>
  <c r="AB19"/>
  <c r="Z53"/>
  <c r="AA53"/>
  <c r="AB53"/>
  <c r="AA32"/>
  <c r="Z32"/>
  <c r="AB32"/>
  <c r="AC99"/>
  <c r="BC99"/>
  <c r="BD99"/>
  <c r="AE99"/>
  <c r="AD99"/>
  <c r="E60" i="55"/>
  <c r="BE55" i="56"/>
  <c r="F60" i="55"/>
  <c r="BF55" i="56"/>
  <c r="BD33"/>
  <c r="AC33"/>
  <c r="BC33"/>
  <c r="AE33"/>
  <c r="AD33"/>
  <c r="BD20"/>
  <c r="AD20"/>
  <c r="AC20"/>
  <c r="BC20"/>
  <c r="AE20"/>
  <c r="AA67"/>
  <c r="Z67"/>
  <c r="AB67"/>
  <c r="AA91"/>
  <c r="Z91"/>
  <c r="AB91"/>
  <c r="AA77"/>
  <c r="Z77"/>
  <c r="AB77"/>
  <c r="AA44"/>
  <c r="Z44"/>
  <c r="AB44"/>
  <c r="BD28"/>
  <c r="AD28"/>
  <c r="AC28"/>
  <c r="BC28"/>
  <c r="AE28"/>
  <c r="Z64"/>
  <c r="AA64"/>
  <c r="AB64"/>
  <c r="Z70"/>
  <c r="AB70"/>
  <c r="AA70"/>
  <c r="AA30"/>
  <c r="AB30"/>
  <c r="Z30"/>
  <c r="AA18"/>
  <c r="AB18"/>
  <c r="Z18"/>
  <c r="Z84"/>
  <c r="AB84"/>
  <c r="AA84"/>
  <c r="Z73"/>
  <c r="AA73"/>
  <c r="AB73"/>
  <c r="AB62"/>
  <c r="Z62"/>
  <c r="AA62"/>
  <c r="Z36"/>
  <c r="AB36"/>
  <c r="AA36"/>
  <c r="AA82"/>
  <c r="Z82"/>
  <c r="AB82"/>
  <c r="E79" i="55"/>
  <c r="BF79" i="56"/>
  <c r="BE79"/>
  <c r="F79" i="55"/>
  <c r="G79" s="1"/>
  <c r="X74" i="56"/>
  <c r="AA50"/>
  <c r="Z50"/>
  <c r="AB50"/>
  <c r="Z56"/>
  <c r="AB56"/>
  <c r="AA56"/>
  <c r="X76"/>
  <c r="BD59"/>
  <c r="AE59"/>
  <c r="AC59"/>
  <c r="BC59"/>
  <c r="BC97"/>
  <c r="AE97"/>
  <c r="AC97"/>
  <c r="AD97"/>
  <c r="BD97"/>
  <c r="AA95"/>
  <c r="Z95"/>
  <c r="AB95"/>
  <c r="Z29"/>
  <c r="AB29"/>
  <c r="AA29"/>
  <c r="BD57"/>
  <c r="AC57"/>
  <c r="BC57"/>
  <c r="AE57"/>
  <c r="Z83"/>
  <c r="AB83"/>
  <c r="AA83"/>
  <c r="Z61"/>
  <c r="AB61"/>
  <c r="AA61"/>
  <c r="AE15"/>
  <c r="AD15"/>
  <c r="AC15"/>
  <c r="BC15"/>
  <c r="BD15"/>
  <c r="Z41"/>
  <c r="AA41"/>
  <c r="AB41"/>
  <c r="AA21"/>
  <c r="AB21"/>
  <c r="Z21"/>
  <c r="BD26"/>
  <c r="AE26"/>
  <c r="AD26"/>
  <c r="AC26"/>
  <c r="BC26"/>
  <c r="AA37"/>
  <c r="Z37"/>
  <c r="AB37"/>
  <c r="X34"/>
  <c r="AC25"/>
  <c r="BC25"/>
  <c r="BD25"/>
  <c r="AE25"/>
  <c r="AD25"/>
  <c r="AA65"/>
  <c r="Z65"/>
  <c r="AB65"/>
  <c r="AC65"/>
  <c r="AA72"/>
  <c r="Z72"/>
  <c r="AB72"/>
  <c r="AC72"/>
  <c r="X24"/>
  <c r="AA48"/>
  <c r="Z48"/>
  <c r="AB48"/>
  <c r="AB47"/>
  <c r="AA47"/>
  <c r="Z47"/>
  <c r="X17"/>
  <c r="X75"/>
  <c r="AA22"/>
  <c r="Z22"/>
  <c r="AB22"/>
  <c r="X60"/>
  <c r="X14"/>
  <c r="BD22"/>
  <c r="AE22"/>
  <c r="AD22"/>
  <c r="BC22"/>
  <c r="AC22"/>
  <c r="BD83"/>
  <c r="AE83"/>
  <c r="AC83"/>
  <c r="BC83"/>
  <c r="AD83"/>
  <c r="AE84"/>
  <c r="AC84"/>
  <c r="BC84"/>
  <c r="BD84"/>
  <c r="BD30"/>
  <c r="AE30"/>
  <c r="AD30"/>
  <c r="BC30"/>
  <c r="AC30"/>
  <c r="E33" i="55"/>
  <c r="BE28" i="56"/>
  <c r="F33" i="55"/>
  <c r="G33" s="1"/>
  <c r="BF28" i="56"/>
  <c r="E25" i="55"/>
  <c r="BE20" i="56"/>
  <c r="F25" i="55"/>
  <c r="G25" s="1"/>
  <c r="BF20" i="56"/>
  <c r="BC53"/>
  <c r="AC53"/>
  <c r="BD53"/>
  <c r="AE53"/>
  <c r="E94" i="55"/>
  <c r="BF98" i="56"/>
  <c r="BE98"/>
  <c r="F94" i="55"/>
  <c r="G94" s="1"/>
  <c r="E88"/>
  <c r="BF90" i="56"/>
  <c r="BE90"/>
  <c r="F88" i="55"/>
  <c r="BE31" i="56"/>
  <c r="F36" i="55"/>
  <c r="E36"/>
  <c r="BF31" i="56"/>
  <c r="E86" i="55"/>
  <c r="BE88" i="56"/>
  <c r="F86" i="55"/>
  <c r="G86" s="1"/>
  <c r="BF88" i="56"/>
  <c r="E50" i="55"/>
  <c r="BE45" i="56"/>
  <c r="F50" i="55"/>
  <c r="G50" s="1"/>
  <c r="BF45" i="56"/>
  <c r="AC37"/>
  <c r="BC37"/>
  <c r="AE37"/>
  <c r="BD37"/>
  <c r="AE29"/>
  <c r="AD29"/>
  <c r="BC29"/>
  <c r="AC29"/>
  <c r="BD29"/>
  <c r="E64" i="55"/>
  <c r="BE59" i="56"/>
  <c r="F64" i="55"/>
  <c r="BF59" i="56"/>
  <c r="BD36"/>
  <c r="BC36"/>
  <c r="AC36"/>
  <c r="AE36"/>
  <c r="BD73"/>
  <c r="AD73"/>
  <c r="AC73"/>
  <c r="BD77"/>
  <c r="AE77"/>
  <c r="AD77"/>
  <c r="AC77"/>
  <c r="BC77"/>
  <c r="AC67"/>
  <c r="BC66"/>
  <c r="BE33"/>
  <c r="F38" i="55"/>
  <c r="G38" s="1"/>
  <c r="E38"/>
  <c r="BF33" i="56"/>
  <c r="BF99"/>
  <c r="E95" i="55"/>
  <c r="BE99" i="56"/>
  <c r="F95" i="55"/>
  <c r="G95" s="1"/>
  <c r="BE23" i="56"/>
  <c r="F28" i="55"/>
  <c r="E28"/>
  <c r="BF23" i="56"/>
  <c r="E83" i="55"/>
  <c r="BF85" i="56"/>
  <c r="BE85"/>
  <c r="F83" i="55"/>
  <c r="G83" s="1"/>
  <c r="E73"/>
  <c r="BE71" i="56"/>
  <c r="F73" i="55"/>
  <c r="BF71" i="56"/>
  <c r="AC58"/>
  <c r="AE58"/>
  <c r="BD58"/>
  <c r="BC58"/>
  <c r="AC42"/>
  <c r="BC42"/>
  <c r="BD42"/>
  <c r="AE42"/>
  <c r="AD42"/>
  <c r="BE15"/>
  <c r="F20" i="55"/>
  <c r="E20"/>
  <c r="BF15" i="56"/>
  <c r="BD61"/>
  <c r="AE61"/>
  <c r="AC61"/>
  <c r="BC61"/>
  <c r="E62" i="55"/>
  <c r="BE57" i="56"/>
  <c r="F62" i="55"/>
  <c r="G62" s="1"/>
  <c r="BF57" i="56"/>
  <c r="BD95"/>
  <c r="AC95"/>
  <c r="BC95"/>
  <c r="AE95"/>
  <c r="BD56"/>
  <c r="AE56"/>
  <c r="AC56"/>
  <c r="BC56"/>
  <c r="AD56"/>
  <c r="BD18"/>
  <c r="AE18"/>
  <c r="AD18"/>
  <c r="BC18"/>
  <c r="AC18"/>
  <c r="BD32"/>
  <c r="AD32"/>
  <c r="AE32"/>
  <c r="AC32"/>
  <c r="BC32"/>
  <c r="BD48"/>
  <c r="BC48"/>
  <c r="AE48"/>
  <c r="AC48"/>
  <c r="AD48"/>
  <c r="E31" i="55"/>
  <c r="BE26" i="56"/>
  <c r="F31" i="55"/>
  <c r="G31" s="1"/>
  <c r="BF26" i="56"/>
  <c r="BD50"/>
  <c r="BC50"/>
  <c r="AE50"/>
  <c r="AC50"/>
  <c r="BD44"/>
  <c r="AE44"/>
  <c r="AC44"/>
  <c r="BC44"/>
  <c r="BD91"/>
  <c r="BC91"/>
  <c r="AE91"/>
  <c r="AC91"/>
  <c r="E57" i="55"/>
  <c r="BE52" i="56"/>
  <c r="F57" i="55"/>
  <c r="G57" s="1"/>
  <c r="BF52" i="56"/>
  <c r="BE27"/>
  <c r="F32" i="55"/>
  <c r="E32"/>
  <c r="BF27" i="56"/>
  <c r="Z60"/>
  <c r="AA60"/>
  <c r="AB60"/>
  <c r="AB24"/>
  <c r="AA24"/>
  <c r="Z24"/>
  <c r="AA34"/>
  <c r="Z34"/>
  <c r="AB34"/>
  <c r="BD41"/>
  <c r="BC41"/>
  <c r="AE41"/>
  <c r="AC41"/>
  <c r="BF97"/>
  <c r="BE97"/>
  <c r="F93" i="55"/>
  <c r="G93" s="1"/>
  <c r="E93"/>
  <c r="AC82" i="56"/>
  <c r="BD81"/>
  <c r="BD64"/>
  <c r="AE64"/>
  <c r="AC64"/>
  <c r="BC64"/>
  <c r="E43" i="55"/>
  <c r="BE38" i="56"/>
  <c r="F43" i="55"/>
  <c r="G43" s="1"/>
  <c r="BF38" i="56"/>
  <c r="BE25"/>
  <c r="F30" i="55"/>
  <c r="G30" s="1"/>
  <c r="E30"/>
  <c r="BF25" i="56"/>
  <c r="AC21"/>
  <c r="BC21"/>
  <c r="AE21"/>
  <c r="AD21"/>
  <c r="BD21"/>
  <c r="AC70"/>
  <c r="BC69"/>
  <c r="BC81"/>
  <c r="Z14"/>
  <c r="AB14"/>
  <c r="AA14"/>
  <c r="AB75"/>
  <c r="AA75"/>
  <c r="Z75"/>
  <c r="BD47"/>
  <c r="BC47"/>
  <c r="AE47"/>
  <c r="AC47"/>
  <c r="AA74"/>
  <c r="Z74"/>
  <c r="AB74"/>
  <c r="BC62"/>
  <c r="AC62"/>
  <c r="BD62"/>
  <c r="AD62"/>
  <c r="AE62"/>
  <c r="BD19"/>
  <c r="AE19"/>
  <c r="AC19"/>
  <c r="BC19"/>
  <c r="AD19"/>
  <c r="E87" i="55"/>
  <c r="BE89" i="56"/>
  <c r="F87" i="55"/>
  <c r="G87" s="1"/>
  <c r="BF89" i="56"/>
  <c r="AE39"/>
  <c r="BD39"/>
  <c r="AC39"/>
  <c r="BC39"/>
  <c r="E21" i="55"/>
  <c r="BE16" i="56"/>
  <c r="F21" i="55"/>
  <c r="BF16" i="56"/>
  <c r="BE51"/>
  <c r="F56" i="55"/>
  <c r="BF51" i="56"/>
  <c r="E56" i="55"/>
  <c r="AA17" i="56"/>
  <c r="Z17"/>
  <c r="AB17"/>
  <c r="Z76"/>
  <c r="AB76"/>
  <c r="AA76"/>
  <c r="E72" i="55"/>
  <c r="BE69" i="56"/>
  <c r="F72" i="55"/>
  <c r="G72" s="1"/>
  <c r="BF69" i="56"/>
  <c r="BE21"/>
  <c r="F26" i="55"/>
  <c r="G26" s="1"/>
  <c r="E26"/>
  <c r="BF21" i="56"/>
  <c r="E49" i="55"/>
  <c r="BE44" i="56"/>
  <c r="F49" i="55"/>
  <c r="G49" s="1"/>
  <c r="BF44" i="56"/>
  <c r="BE77"/>
  <c r="F77" i="55"/>
  <c r="E77"/>
  <c r="BF77" i="56"/>
  <c r="BE29"/>
  <c r="F34" i="55"/>
  <c r="G34" s="1"/>
  <c r="E34"/>
  <c r="BF29" i="56"/>
  <c r="BE37"/>
  <c r="F42" i="55"/>
  <c r="G42" s="1"/>
  <c r="E42"/>
  <c r="BF37" i="56"/>
  <c r="BE56"/>
  <c r="F61" i="55"/>
  <c r="E61"/>
  <c r="BF56" i="56"/>
  <c r="E92" i="55"/>
  <c r="BE95" i="56"/>
  <c r="F92" i="55"/>
  <c r="G92" s="1"/>
  <c r="BF95" i="56"/>
  <c r="BD76"/>
  <c r="AE76"/>
  <c r="AC76"/>
  <c r="BC76"/>
  <c r="AD76"/>
  <c r="E66" i="55"/>
  <c r="BE61" i="56"/>
  <c r="F66" i="55"/>
  <c r="G66" s="1"/>
  <c r="BF61" i="56"/>
  <c r="E81" i="55"/>
  <c r="BE83" i="56"/>
  <c r="F81" i="55"/>
  <c r="G81" s="1"/>
  <c r="BF83" i="56"/>
  <c r="AC17"/>
  <c r="BD17"/>
  <c r="AE17"/>
  <c r="AD17"/>
  <c r="BC17"/>
  <c r="BE39"/>
  <c r="F44" i="55"/>
  <c r="E44"/>
  <c r="BF39" i="56"/>
  <c r="AC74"/>
  <c r="BC73"/>
  <c r="BE64"/>
  <c r="F69" i="55"/>
  <c r="E69"/>
  <c r="BF64" i="56"/>
  <c r="BD34"/>
  <c r="AE34"/>
  <c r="AD34"/>
  <c r="BC34"/>
  <c r="AC34"/>
  <c r="E37" i="55"/>
  <c r="BE32" i="56"/>
  <c r="F37" i="55"/>
  <c r="G37" s="1"/>
  <c r="BF32" i="56"/>
  <c r="E47" i="55"/>
  <c r="BE42" i="56"/>
  <c r="F47" i="55"/>
  <c r="G47" s="1"/>
  <c r="BF42" i="56"/>
  <c r="E70" i="55"/>
  <c r="BE66" i="56"/>
  <c r="F70" i="55"/>
  <c r="G70" s="1"/>
  <c r="BF66" i="56"/>
  <c r="E35" i="55"/>
  <c r="BE30" i="56"/>
  <c r="F35" i="55"/>
  <c r="G35" s="1"/>
  <c r="BF30" i="56"/>
  <c r="E82" i="55"/>
  <c r="BF84" i="56"/>
  <c r="BE84"/>
  <c r="F82" i="55"/>
  <c r="G82" s="1"/>
  <c r="AE60" i="56"/>
  <c r="BD60"/>
  <c r="AC60"/>
  <c r="BC60"/>
  <c r="BF81"/>
  <c r="E80" i="55"/>
  <c r="BE81" i="56"/>
  <c r="F80" i="55"/>
  <c r="E55"/>
  <c r="BE50" i="56"/>
  <c r="F55" i="55"/>
  <c r="G55" s="1"/>
  <c r="BF50" i="56"/>
  <c r="E53" i="55"/>
  <c r="BE48" i="56"/>
  <c r="F53" i="55"/>
  <c r="G53" s="1"/>
  <c r="BF48" i="56"/>
  <c r="BE19"/>
  <c r="F24" i="55"/>
  <c r="G24" s="1"/>
  <c r="E24"/>
  <c r="BF19" i="56"/>
  <c r="BE62"/>
  <c r="F67" i="55"/>
  <c r="G67" s="1"/>
  <c r="E67"/>
  <c r="BF62" i="56"/>
  <c r="BD14"/>
  <c r="AC14"/>
  <c r="BC14"/>
  <c r="AD14"/>
  <c r="AE14"/>
  <c r="E27" i="55"/>
  <c r="BE22" i="56"/>
  <c r="F27" i="55"/>
  <c r="G27" s="1"/>
  <c r="BF22" i="56"/>
  <c r="E52" i="55"/>
  <c r="BE47" i="56"/>
  <c r="F52" i="55"/>
  <c r="BF47" i="56"/>
  <c r="AC75"/>
  <c r="BC75"/>
  <c r="BD75"/>
  <c r="AE75"/>
  <c r="AD75"/>
  <c r="BD24"/>
  <c r="AD24"/>
  <c r="AE24"/>
  <c r="AC24"/>
  <c r="BC24"/>
  <c r="E89" i="55"/>
  <c r="BF91" i="56"/>
  <c r="BE91"/>
  <c r="F89" i="55"/>
  <c r="G89" s="1"/>
  <c r="E23"/>
  <c r="BE18" i="56"/>
  <c r="F23" i="55"/>
  <c r="G23" s="1"/>
  <c r="BF18" i="56"/>
  <c r="E63" i="55"/>
  <c r="BE58" i="56"/>
  <c r="F63" i="55"/>
  <c r="G63" s="1"/>
  <c r="BF58" i="56"/>
  <c r="E41" i="55"/>
  <c r="BE36" i="56"/>
  <c r="F41" i="55"/>
  <c r="G41" s="1"/>
  <c r="BF36" i="56"/>
  <c r="BE53"/>
  <c r="F58" i="55"/>
  <c r="G58" s="1"/>
  <c r="E58"/>
  <c r="BF53" i="56"/>
  <c r="E46" i="55"/>
  <c r="BE41" i="56"/>
  <c r="F46" i="55"/>
  <c r="G46" s="1"/>
  <c r="BF41" i="56"/>
  <c r="E29" i="55"/>
  <c r="BE24" i="56"/>
  <c r="F29" i="55"/>
  <c r="G29" s="1"/>
  <c r="BF24" i="56"/>
  <c r="E19" i="55"/>
  <c r="BE14" i="56"/>
  <c r="F19" i="55"/>
  <c r="G19" s="1"/>
  <c r="BF14" i="56"/>
  <c r="BE60"/>
  <c r="F65" i="55"/>
  <c r="E65"/>
  <c r="BF60" i="56"/>
  <c r="BE75"/>
  <c r="F75" i="55"/>
  <c r="G75" s="1"/>
  <c r="E75"/>
  <c r="BF75" i="56"/>
  <c r="BE73"/>
  <c r="F74" i="55"/>
  <c r="G74" s="1"/>
  <c r="E74"/>
  <c r="BF73" i="56"/>
  <c r="E76" i="55"/>
  <c r="BE76" i="56"/>
  <c r="F76" i="55"/>
  <c r="G76" s="1"/>
  <c r="BF76" i="56"/>
  <c r="E39" i="55"/>
  <c r="BE34" i="56"/>
  <c r="F39" i="55"/>
  <c r="G39" s="1"/>
  <c r="BF34" i="56"/>
  <c r="BE17"/>
  <c r="F22" i="55"/>
  <c r="G22" s="1"/>
  <c r="E22"/>
  <c r="BF17" i="56"/>
</calcChain>
</file>

<file path=xl/sharedStrings.xml><?xml version="1.0" encoding="utf-8"?>
<sst xmlns="http://schemas.openxmlformats.org/spreadsheetml/2006/main" count="630" uniqueCount="219">
  <si>
    <t>доплата за классность</t>
  </si>
  <si>
    <t>летняя</t>
  </si>
  <si>
    <t>Среднегодовая</t>
  </si>
  <si>
    <t>Надбавки</t>
  </si>
  <si>
    <t>вредность</t>
  </si>
  <si>
    <t>ночные</t>
  </si>
  <si>
    <t>празд-ные, руб.</t>
  </si>
  <si>
    <t>Премия</t>
  </si>
  <si>
    <t>район. коэф.</t>
  </si>
  <si>
    <t>сев. над.</t>
  </si>
  <si>
    <t>%</t>
  </si>
  <si>
    <t>сумма, руб.</t>
  </si>
  <si>
    <t>итого зарплата, руб.</t>
  </si>
  <si>
    <t>доплата за профмастерство</t>
  </si>
  <si>
    <t>1</t>
  </si>
  <si>
    <t>Наименование смазочных материалов</t>
  </si>
  <si>
    <t>Цена 1 л смазочных материалов, руб.</t>
  </si>
  <si>
    <t>затраты на смазочные материалы, руб.</t>
  </si>
  <si>
    <t>среднечасовой пробег, км</t>
  </si>
  <si>
    <t>Цена 1 автошины, руб.</t>
  </si>
  <si>
    <t>Количество колёс, шт.</t>
  </si>
  <si>
    <t>затраты на автошины, руб.</t>
  </si>
  <si>
    <t>итого тариф 1 машино - часа (без НДС) для использования во взаимоотношениях со сторонними организациями,  руб.</t>
  </si>
  <si>
    <t>№ п/п</t>
  </si>
  <si>
    <t>бензин АИ - 92</t>
  </si>
  <si>
    <t>бензин АИ - 80</t>
  </si>
  <si>
    <t>бензин АИ - 95</t>
  </si>
  <si>
    <t xml:space="preserve">Дизельное топливо 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</si>
  <si>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</si>
  <si>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</si>
  <si>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</si>
  <si>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</si>
  <si>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</si>
  <si>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</si>
  <si>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</si>
  <si>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</si>
  <si>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</si>
  <si>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</si>
  <si>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</si>
  <si>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</si>
  <si>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</si>
  <si>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</si>
  <si>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</si>
  <si>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</si>
  <si>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</si>
  <si>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</si>
  <si>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</si>
  <si>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</si>
  <si>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</si>
  <si>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</si>
  <si>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</si>
  <si>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</si>
  <si>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</si>
  <si>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</si>
  <si>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</si>
  <si>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</si>
  <si>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</si>
  <si>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</si>
  <si>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</si>
  <si>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</si>
  <si>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</si>
  <si>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</si>
  <si>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</si>
  <si>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</si>
  <si>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</si>
  <si>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</si>
  <si>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</si>
  <si>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</si>
  <si>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</si>
  <si>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</si>
  <si>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</si>
  <si>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</si>
  <si>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</si>
  <si>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Масло моторное М-10ДМ</t>
  </si>
  <si>
    <t>Масло моторное М-8В</t>
  </si>
  <si>
    <t>Нормы расхода смазочных материалов, л на 100 л расхода топлива</t>
  </si>
  <si>
    <t>наименование шин</t>
  </si>
  <si>
    <t>240Р508 (8,25Р20) У-2 с/к Алтай</t>
  </si>
  <si>
    <t>№№ п/п</t>
  </si>
  <si>
    <t>Единица измерения.</t>
  </si>
  <si>
    <t>ТАРИФЫ НА РАБОТЫ И УСЛУГИ,</t>
  </si>
  <si>
    <t>1 машино - час</t>
  </si>
  <si>
    <t>тариф для сторонних организаций</t>
  </si>
  <si>
    <t>итого тариф 1 машино - часа (без НДС) для использования во взаимоотношениях с работниками предприятия,  руб.</t>
  </si>
  <si>
    <t>тариф для использования в отношениях со структурными подразделениями предприятия</t>
  </si>
  <si>
    <t>итого тариф 1 машино - часа (без НДС) для использования в отношениях со структурными подразделениями предприятия,  руб.</t>
  </si>
  <si>
    <t xml:space="preserve"> обслуживание оборудования</t>
  </si>
  <si>
    <t>с 7 % надб.</t>
  </si>
  <si>
    <t>базовая</t>
  </si>
  <si>
    <t>амортизация (лизинговые платежи) по автомобилю (механизму) на 1 машино - час, руб.</t>
  </si>
  <si>
    <t>Начальник ПЭО</t>
  </si>
  <si>
    <t>Г.В. Брюхнова</t>
  </si>
  <si>
    <t>"УТВЕРЖДАЮ"</t>
  </si>
  <si>
    <t>Номер в 1С, версия 8.1</t>
  </si>
  <si>
    <t>Насос центробежный RTG 307 ST</t>
  </si>
  <si>
    <t>Насос диафрагменный RTG 208 D</t>
  </si>
  <si>
    <t>Насос диафрагменный RTG 307 D</t>
  </si>
  <si>
    <t>Насос центробежный RTG 301 T</t>
  </si>
  <si>
    <t>Маслостанция МС - 20</t>
  </si>
  <si>
    <t>Асфальторез TS - 760</t>
  </si>
  <si>
    <t>Асфальторез TS - 800</t>
  </si>
  <si>
    <t>Мотопомпа ММ 27/100</t>
  </si>
  <si>
    <t>Разрушитель труб Т 85</t>
  </si>
  <si>
    <t>Передвижная электростанция АБ - 16 Г 400 с дизель. двиг. Т 65</t>
  </si>
  <si>
    <t>Передвижной воздухонагреватель с системой наддува ВЕ 150 CED № 1</t>
  </si>
  <si>
    <t>Передвижной воздухонагреватель с системой наддува ВЕ 150 CED № 2</t>
  </si>
  <si>
    <t>САГ дизельный АДД - 4004 № 1</t>
  </si>
  <si>
    <t>САГ дизельный АДД - 4004 № 2</t>
  </si>
  <si>
    <t>САГ дизельный АДД - 4004 № 3</t>
  </si>
  <si>
    <t>САГ дизельный АДД - 4004 № 4</t>
  </si>
  <si>
    <t>САГ дизельный АДД - 4004 № 5 (ЛЭРСВИК)</t>
  </si>
  <si>
    <t>ДЭУ - 200</t>
  </si>
  <si>
    <t>Компрессор Kaeser М 120 Т</t>
  </si>
  <si>
    <t>Компрессор ПКСД - 5,25 Д № 1</t>
  </si>
  <si>
    <t>Компрессор ПКСД - 5,25 Д № 2</t>
  </si>
  <si>
    <t>Должность рабочего, обслуживающего технику</t>
  </si>
  <si>
    <t>Разряд</t>
  </si>
  <si>
    <t xml:space="preserve">Калькуляции стоимости 1 машино - часа эксплуатации средств малой механизации для структурных подразделений предприятия, сторонних организаций и работников предприятия </t>
  </si>
  <si>
    <t>зимняя надбавка  -  15 %</t>
  </si>
  <si>
    <t>Слесарь аварийно-восстановительных работ</t>
  </si>
  <si>
    <t>Машинист компрессорных установок</t>
  </si>
  <si>
    <t>Электрогазосварщик (занятый на резке и ручной сварке)</t>
  </si>
  <si>
    <t>Сварочный аппарат РТ-200</t>
  </si>
  <si>
    <t>Сварочная установка РТ-355</t>
  </si>
  <si>
    <t>Сварочная машина РТ 630</t>
  </si>
  <si>
    <t xml:space="preserve"> Генератор AG-60 Sparku</t>
  </si>
  <si>
    <t>Электромуфтовый сварочный аппарат Хёрнер HST-300</t>
  </si>
  <si>
    <t>Пневмопробойник "Грюндокрак-270 мм"</t>
  </si>
  <si>
    <t>Пневмопробойник СО 134</t>
  </si>
  <si>
    <t>Пневмопробойник "Грюндомат-130 мм"</t>
  </si>
  <si>
    <t>Пневмопробойник "Грюндокрак-180 мм"</t>
  </si>
  <si>
    <t>Насос НДМ 4</t>
  </si>
  <si>
    <t>Электростанция (бензогенератор) Gesan</t>
  </si>
  <si>
    <t>Муфтовый сварочный аппарат GF MSA-350</t>
  </si>
  <si>
    <t>Насос ЦНСГ 38/88</t>
  </si>
  <si>
    <t>Устройство врезки отводов</t>
  </si>
  <si>
    <t>Вибротромбовка Ваккер BS 50-2</t>
  </si>
  <si>
    <t>Передвижная сварочная установка РТ 315</t>
  </si>
  <si>
    <t>Пробег механизма, км (время работы механизма, час.) до полной амортизации шин</t>
  </si>
  <si>
    <t>нормы расхода топлива (электроэнергии), л (квт-час) на 100 км пробега (1 час работы механизма)</t>
  </si>
  <si>
    <t>Наименование топлива (вида электроэнергии)</t>
  </si>
  <si>
    <t>Цена 1 л топлива (1 квт - часа электроэнергии), руб.</t>
  </si>
  <si>
    <t>затраты топлива (электроэнергии) на 1 час работы механизма, руб.</t>
  </si>
  <si>
    <t>электроэнергия, НН нер.</t>
  </si>
  <si>
    <t>Плотник</t>
  </si>
  <si>
    <t xml:space="preserve">Транспортные расходы по доставке механизма, руб. </t>
  </si>
  <si>
    <t>Электромонтер по ремонту и обслуживанию электрооборудования</t>
  </si>
  <si>
    <t xml:space="preserve">Устройство диагностики трубопроводов "Вектор Сар" </t>
  </si>
  <si>
    <t xml:space="preserve">система телеинспекции труб SUPERVISION (на базе автомобиля Форд-Транзит-350) </t>
  </si>
  <si>
    <t>а) без перевозки</t>
  </si>
  <si>
    <t xml:space="preserve">Переносной расходомер Katflow - 200 с транспортировкой Форд - Транзит  350 грузовой  фургон </t>
  </si>
  <si>
    <t>б) с перевозкой (автомобиль Форд Транзит  350 грузовой  фургон )</t>
  </si>
  <si>
    <t xml:space="preserve">Корреляционный течеискатель FUJI TECOM LC-2100 с транспортировкой Форд Транзит  350 грузовой  фургон </t>
  </si>
  <si>
    <t>Слесарь по контрольно-измерительным приборам и автоматике</t>
  </si>
  <si>
    <t>Часовая тарифная ставка (должностной оклад), руб.</t>
  </si>
  <si>
    <t>б) с перевозкой (автомобиль ДЭУ Новус)</t>
  </si>
  <si>
    <t>Электротельфер грузопод. 5 тн</t>
  </si>
  <si>
    <t>слесарь механо - сборочных работ</t>
  </si>
  <si>
    <t>электромонтёр по ремонту и обслуживанию электрооборудования</t>
  </si>
  <si>
    <t>Ведущий инженер отдела технической эксплуатации и расчётов (0,5 часа)</t>
  </si>
  <si>
    <t>Марка средств малой механизации, оборудования</t>
  </si>
  <si>
    <t>13 зарплата  (7 %), руб.</t>
  </si>
  <si>
    <t>поощрение за труд к отпуску, руб.</t>
  </si>
  <si>
    <t>выслуга лет (6 %), руб.</t>
  </si>
  <si>
    <t>Всего зарплата, руб.</t>
  </si>
  <si>
    <t>Прицеп с компрессорной установкой  ATLAS COPCO XAS97DD</t>
  </si>
  <si>
    <t>АС 4772</t>
  </si>
  <si>
    <t>дизельное топливо</t>
  </si>
  <si>
    <t>195х65</t>
  </si>
  <si>
    <t>АС 4773</t>
  </si>
  <si>
    <t>Прицеп - осветительная установка ATLAS COPCO  QLT M10</t>
  </si>
  <si>
    <t>РС 0159</t>
  </si>
  <si>
    <t>Пневмопробойник М 200 (работает только с компрессором Кайзер или НВ - 10)</t>
  </si>
  <si>
    <t>Слесарь аварийно-восстановительных работ = 3 чел.</t>
  </si>
  <si>
    <t>слесарь АВР - 1 чел.</t>
  </si>
  <si>
    <t>Бензогенераторы G 10 000 V, G10TFV</t>
  </si>
  <si>
    <t>Маслостанция с приводом от двигателя внутреннего сгорания МС - 20 А</t>
  </si>
  <si>
    <t>Мотопомпа Koshin с двигателем Honda GX240</t>
  </si>
  <si>
    <t>Дизельная электростанция Mitsudiesel АД-350С-Т400-1РМ11</t>
  </si>
  <si>
    <t>Тел. 214-640</t>
  </si>
  <si>
    <t>Мотопомпа Varisco JD</t>
  </si>
  <si>
    <t>цеховые расходы (ТЦ - 9,8 %, РЦ - 26,8 %, ЭЦ - 52,67 %), руб.</t>
  </si>
  <si>
    <t xml:space="preserve">Исп. А.Б. Анисимов </t>
  </si>
  <si>
    <t>44</t>
  </si>
  <si>
    <t>45</t>
  </si>
  <si>
    <t>46</t>
  </si>
  <si>
    <t>47</t>
  </si>
  <si>
    <t>48</t>
  </si>
  <si>
    <t>53</t>
  </si>
  <si>
    <t>Генератор переменного напряжения  ATLAS COPCO QAX 20 Dd</t>
  </si>
  <si>
    <t>Масло моторноеPAROIL Extra</t>
  </si>
  <si>
    <t>Генератор переменного напряжения  ATLAS COPCO QAS 275 Volvo S2A APP</t>
  </si>
  <si>
    <t>54</t>
  </si>
  <si>
    <t>55</t>
  </si>
  <si>
    <t>Машина стыковой сварки HST 250 CNC ECO</t>
  </si>
  <si>
    <t>56</t>
  </si>
  <si>
    <t>Приложение 2 к приказу от               2015    №</t>
  </si>
  <si>
    <t xml:space="preserve">Расходомер KATflow 200 (толщиномер) с транспортировкой Форд Транзит  350 грузовой  фургон </t>
  </si>
  <si>
    <t>57</t>
  </si>
  <si>
    <t>58</t>
  </si>
  <si>
    <t>Электромонтер по ремонту и обслуживанию электрооборудования - 2 чел.</t>
  </si>
  <si>
    <t>начисления на зарплату (30,2 %), руб.</t>
  </si>
  <si>
    <t>Дизельная электростанция Magna PLUS MP-350-4 200 кВа</t>
  </si>
  <si>
    <t>Дизельная электростанция ATLAS COPCO QAS 325</t>
  </si>
  <si>
    <t>Дизельная электростанция ATLAS COPCO  20 кВА</t>
  </si>
  <si>
    <t>59</t>
  </si>
  <si>
    <t>60</t>
  </si>
  <si>
    <t>сумма затрат на текущий ремонт и техобслуживание ( общая годовая сумма затрат на текущий ремонт и техобслуживание - 11 788,503 тыс. руб., годовая норма рабочего времени - 1971 час., количество единиц техники - 123) 11 788 503/1971/123= 48,62 руб.</t>
  </si>
  <si>
    <t>сумма затрат на капитальный ремонт ( общая годовая сумма затрат на капитальный ремонт - 4 244,39 тыс. руб., годовая норма рабочего времени - 1971 час., количество единиц техники - 123) 4 244 390/1971/123= 17,51 руб.</t>
  </si>
  <si>
    <t>расходы на охрану труда (годовая сумма затрат на приобретение спецодежды и спецобуви - 1 258 068 руб., годовая норма рабочего времени - 1971 час., количество единиц техники - 123)  1 258 068/1971/123= 5,19 руб.</t>
  </si>
  <si>
    <t>Рентабельность для использования во взаимоотношениях со сторонними организациями 20 % от зарплаты рабочих, руб.</t>
  </si>
  <si>
    <t>И.о. директора МУП "Водоканал" г. Иркутска</t>
  </si>
  <si>
    <t>___________________И.В. Гранкин</t>
  </si>
  <si>
    <t>общеэксплуатационные  расходы (101,33 % с понижающим коэффициентом 0,05), руб.</t>
  </si>
  <si>
    <t>б) с перевозкой (автомобиль Фиат Дукато)</t>
  </si>
  <si>
    <t>(вводятся в действие с 15.01.2015)</t>
  </si>
  <si>
    <t>тариф для сторонних организаций, с НДС</t>
  </si>
  <si>
    <t>Калькуляция №3</t>
  </si>
  <si>
    <t>выполняемые средствами малой механизации МУП "Водоканал" г.Иркутска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</si>
</sst>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_ ;[Red]\-0.00\ "/>
    <numFmt numFmtId="167" formatCode="0.0_ ;[Red]\-0.0\ 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Arial Cyr"/>
      <family val="2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/>
    <xf numFmtId="0" fontId="1" fillId="0" borderId="1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1" fillId="0" borderId="1" xfId="0" applyFont="1" applyFill="1" applyBorder="1"/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2" fontId="5" fillId="0" borderId="0" xfId="0" applyNumberFormat="1" applyFont="1" applyAlignment="1"/>
    <xf numFmtId="2" fontId="1" fillId="0" borderId="0" xfId="0" applyNumberFormat="1" applyFont="1" applyAlignment="1"/>
    <xf numFmtId="2" fontId="5" fillId="0" borderId="1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zoomScale="65" zoomScaleNormal="65" workbookViewId="0">
      <pane xSplit="5" ySplit="13" topLeftCell="F98" activePane="bottomRight" state="frozen"/>
      <selection pane="topRight" activeCell="F1" sqref="F1"/>
      <selection pane="bottomLeft" activeCell="A14" sqref="A14"/>
      <selection pane="bottomRight" activeCell="Z18" sqref="Z18"/>
    </sheetView>
  </sheetViews>
  <sheetFormatPr defaultRowHeight="15.75"/>
  <cols>
    <col min="1" max="1" width="5.28515625" style="4" customWidth="1"/>
    <col min="2" max="2" width="19.42578125" style="6" customWidth="1"/>
    <col min="3" max="3" width="7.85546875" style="3" customWidth="1"/>
    <col min="4" max="4" width="20" style="3" customWidth="1"/>
    <col min="5" max="5" width="6.42578125" style="11" customWidth="1"/>
    <col min="6" max="6" width="7.28515625" style="6" customWidth="1"/>
    <col min="7" max="7" width="5" style="1" customWidth="1"/>
    <col min="8" max="8" width="6.85546875" style="1" customWidth="1"/>
    <col min="9" max="9" width="5.5703125" style="1" customWidth="1"/>
    <col min="10" max="10" width="5.7109375" style="1" customWidth="1"/>
    <col min="11" max="11" width="4.7109375" style="1" customWidth="1"/>
    <col min="12" max="12" width="5.28515625" style="1" customWidth="1"/>
    <col min="13" max="13" width="5.7109375" style="1" customWidth="1"/>
    <col min="14" max="14" width="5.140625" style="1" customWidth="1"/>
    <col min="15" max="15" width="5.5703125" style="1" customWidth="1"/>
    <col min="16" max="16" width="4.42578125" style="1" customWidth="1"/>
    <col min="17" max="17" width="5.5703125" style="1" customWidth="1"/>
    <col min="18" max="18" width="4.7109375" style="1" customWidth="1"/>
    <col min="19" max="19" width="6.85546875" style="1" customWidth="1"/>
    <col min="20" max="20" width="4.42578125" style="1" customWidth="1"/>
    <col min="21" max="21" width="6.85546875" style="1" customWidth="1"/>
    <col min="22" max="22" width="3.7109375" style="1" customWidth="1"/>
    <col min="23" max="23" width="6.85546875" style="1" customWidth="1"/>
    <col min="24" max="24" width="8.7109375" style="1" customWidth="1"/>
    <col min="25" max="27" width="6.85546875" style="1" customWidth="1"/>
    <col min="28" max="28" width="8.42578125" style="1" customWidth="1"/>
    <col min="29" max="30" width="6.7109375" style="1" customWidth="1"/>
    <col min="31" max="33" width="6.85546875" style="1" customWidth="1"/>
    <col min="34" max="35" width="6.28515625" style="1" customWidth="1"/>
    <col min="36" max="36" width="8.42578125" style="1" customWidth="1"/>
    <col min="37" max="37" width="6.140625" style="1" customWidth="1"/>
    <col min="38" max="38" width="7.7109375" style="1" customWidth="1"/>
    <col min="39" max="39" width="8.85546875" style="1" customWidth="1"/>
    <col min="40" max="40" width="10.7109375" style="1" customWidth="1"/>
    <col min="41" max="41" width="7.140625" style="1" customWidth="1"/>
    <col min="42" max="42" width="8" style="1" customWidth="1"/>
    <col min="43" max="43" width="7.5703125" style="1" customWidth="1"/>
    <col min="44" max="44" width="8.7109375" style="1" customWidth="1"/>
    <col min="45" max="45" width="5.140625" style="1" customWidth="1"/>
    <col min="46" max="46" width="12.42578125" style="1" customWidth="1"/>
    <col min="47" max="47" width="7.7109375" style="1" customWidth="1"/>
    <col min="48" max="48" width="6.7109375" style="1" customWidth="1"/>
    <col min="49" max="49" width="6.5703125" style="1" customWidth="1"/>
    <col min="50" max="50" width="16.5703125" style="6" customWidth="1"/>
    <col min="51" max="51" width="14.42578125" style="1" customWidth="1"/>
    <col min="52" max="52" width="7.85546875" style="1" customWidth="1"/>
    <col min="53" max="53" width="14.42578125" style="1" customWidth="1"/>
    <col min="54" max="54" width="10.42578125" style="1" customWidth="1"/>
    <col min="55" max="55" width="12.42578125" style="1" customWidth="1"/>
    <col min="56" max="56" width="9.42578125" style="1" customWidth="1"/>
    <col min="57" max="57" width="11.7109375" style="1" customWidth="1"/>
    <col min="58" max="58" width="10.42578125" style="1" customWidth="1"/>
    <col min="59" max="59" width="9.140625" style="1"/>
    <col min="60" max="60" width="14.42578125" style="1" customWidth="1"/>
    <col min="61" max="16384" width="9.140625" style="1"/>
  </cols>
  <sheetData>
    <row r="1" spans="1:58">
      <c r="AB1" s="1" t="s">
        <v>92</v>
      </c>
    </row>
    <row r="2" spans="1:58">
      <c r="AB2" s="1" t="s">
        <v>211</v>
      </c>
    </row>
    <row r="3" spans="1:58">
      <c r="AB3" s="1" t="s">
        <v>212</v>
      </c>
    </row>
    <row r="5" spans="1:58">
      <c r="AB5" s="1" t="s">
        <v>196</v>
      </c>
    </row>
    <row r="7" spans="1:58">
      <c r="A7" s="1"/>
      <c r="H7" s="5" t="s">
        <v>117</v>
      </c>
    </row>
    <row r="8" spans="1:58" ht="9" customHeight="1">
      <c r="A8" s="5"/>
    </row>
    <row r="9" spans="1:58" ht="16.5" thickBot="1">
      <c r="H9" s="1" t="s">
        <v>215</v>
      </c>
    </row>
    <row r="10" spans="1:58" ht="15.75" customHeight="1">
      <c r="A10" s="212" t="s">
        <v>23</v>
      </c>
      <c r="B10" s="215" t="s">
        <v>160</v>
      </c>
      <c r="C10" s="189" t="s">
        <v>93</v>
      </c>
      <c r="D10" s="189" t="s">
        <v>115</v>
      </c>
      <c r="E10" s="189" t="s">
        <v>116</v>
      </c>
      <c r="F10" s="192" t="s">
        <v>154</v>
      </c>
      <c r="G10" s="218" t="s">
        <v>3</v>
      </c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21" t="s">
        <v>7</v>
      </c>
      <c r="S10" s="222"/>
      <c r="T10" s="221" t="s">
        <v>8</v>
      </c>
      <c r="U10" s="222"/>
      <c r="V10" s="221" t="s">
        <v>9</v>
      </c>
      <c r="W10" s="222"/>
      <c r="X10" s="192" t="s">
        <v>12</v>
      </c>
      <c r="Y10" s="186" t="s">
        <v>162</v>
      </c>
      <c r="Z10" s="186" t="s">
        <v>163</v>
      </c>
      <c r="AA10" s="186" t="s">
        <v>161</v>
      </c>
      <c r="AB10" s="186" t="s">
        <v>164</v>
      </c>
      <c r="AC10" s="192" t="s">
        <v>201</v>
      </c>
      <c r="AD10" s="192" t="s">
        <v>181</v>
      </c>
      <c r="AE10" s="207" t="s">
        <v>213</v>
      </c>
      <c r="AF10" s="192" t="s">
        <v>140</v>
      </c>
      <c r="AG10" s="192" t="s">
        <v>141</v>
      </c>
      <c r="AH10" s="210" t="s">
        <v>139</v>
      </c>
      <c r="AI10" s="210"/>
      <c r="AJ10" s="210"/>
      <c r="AK10" s="210"/>
      <c r="AL10" s="210"/>
      <c r="AM10" s="192" t="s">
        <v>142</v>
      </c>
      <c r="AN10" s="192" t="s">
        <v>15</v>
      </c>
      <c r="AO10" s="192" t="s">
        <v>16</v>
      </c>
      <c r="AP10" s="215" t="s">
        <v>75</v>
      </c>
      <c r="AQ10" s="192" t="s">
        <v>17</v>
      </c>
      <c r="AR10" s="192" t="s">
        <v>138</v>
      </c>
      <c r="AS10" s="192" t="s">
        <v>18</v>
      </c>
      <c r="AT10" s="192" t="s">
        <v>76</v>
      </c>
      <c r="AU10" s="192" t="s">
        <v>19</v>
      </c>
      <c r="AV10" s="192" t="s">
        <v>20</v>
      </c>
      <c r="AW10" s="192" t="s">
        <v>21</v>
      </c>
      <c r="AX10" s="207" t="s">
        <v>207</v>
      </c>
      <c r="AY10" s="204" t="s">
        <v>208</v>
      </c>
      <c r="AZ10" s="192" t="s">
        <v>89</v>
      </c>
      <c r="BA10" s="204" t="s">
        <v>209</v>
      </c>
      <c r="BB10" s="192" t="s">
        <v>145</v>
      </c>
      <c r="BC10" s="192" t="s">
        <v>85</v>
      </c>
      <c r="BD10" s="192" t="s">
        <v>210</v>
      </c>
      <c r="BE10" s="195" t="s">
        <v>22</v>
      </c>
      <c r="BF10" s="198" t="s">
        <v>83</v>
      </c>
    </row>
    <row r="11" spans="1:58" ht="90" customHeight="1">
      <c r="A11" s="213"/>
      <c r="B11" s="216"/>
      <c r="C11" s="190"/>
      <c r="D11" s="190"/>
      <c r="E11" s="190"/>
      <c r="F11" s="193"/>
      <c r="G11" s="34" t="s">
        <v>4</v>
      </c>
      <c r="H11" s="34"/>
      <c r="I11" s="201" t="s">
        <v>86</v>
      </c>
      <c r="J11" s="201"/>
      <c r="K11" s="202" t="s">
        <v>5</v>
      </c>
      <c r="L11" s="202"/>
      <c r="M11" s="201" t="s">
        <v>6</v>
      </c>
      <c r="N11" s="201" t="s">
        <v>0</v>
      </c>
      <c r="O11" s="201"/>
      <c r="P11" s="201" t="s">
        <v>13</v>
      </c>
      <c r="Q11" s="201"/>
      <c r="R11" s="223"/>
      <c r="S11" s="224"/>
      <c r="T11" s="223"/>
      <c r="U11" s="224"/>
      <c r="V11" s="223"/>
      <c r="W11" s="224"/>
      <c r="X11" s="193"/>
      <c r="Y11" s="187"/>
      <c r="Z11" s="187"/>
      <c r="AA11" s="187"/>
      <c r="AB11" s="187"/>
      <c r="AC11" s="193"/>
      <c r="AD11" s="193"/>
      <c r="AE11" s="208"/>
      <c r="AF11" s="193"/>
      <c r="AG11" s="193"/>
      <c r="AH11" s="211"/>
      <c r="AI11" s="211"/>
      <c r="AJ11" s="211"/>
      <c r="AK11" s="211"/>
      <c r="AL11" s="211"/>
      <c r="AM11" s="193"/>
      <c r="AN11" s="193"/>
      <c r="AO11" s="193"/>
      <c r="AP11" s="219"/>
      <c r="AQ11" s="193"/>
      <c r="AR11" s="193"/>
      <c r="AS11" s="193"/>
      <c r="AT11" s="193"/>
      <c r="AU11" s="193"/>
      <c r="AV11" s="193"/>
      <c r="AW11" s="193"/>
      <c r="AX11" s="208"/>
      <c r="AY11" s="205"/>
      <c r="AZ11" s="193"/>
      <c r="BA11" s="205"/>
      <c r="BB11" s="193"/>
      <c r="BC11" s="193"/>
      <c r="BD11" s="193"/>
      <c r="BE11" s="196"/>
      <c r="BF11" s="199"/>
    </row>
    <row r="12" spans="1:58" ht="203.25" customHeight="1" thickBot="1">
      <c r="A12" s="214"/>
      <c r="B12" s="217"/>
      <c r="C12" s="191"/>
      <c r="D12" s="191"/>
      <c r="E12" s="191"/>
      <c r="F12" s="194"/>
      <c r="G12" s="36" t="s">
        <v>10</v>
      </c>
      <c r="H12" s="37" t="s">
        <v>11</v>
      </c>
      <c r="I12" s="36" t="s">
        <v>10</v>
      </c>
      <c r="J12" s="37" t="s">
        <v>11</v>
      </c>
      <c r="K12" s="36" t="s">
        <v>10</v>
      </c>
      <c r="L12" s="37" t="s">
        <v>11</v>
      </c>
      <c r="M12" s="203"/>
      <c r="N12" s="36" t="s">
        <v>10</v>
      </c>
      <c r="O12" s="37" t="s">
        <v>11</v>
      </c>
      <c r="P12" s="36" t="s">
        <v>10</v>
      </c>
      <c r="Q12" s="37" t="s">
        <v>11</v>
      </c>
      <c r="R12" s="36" t="s">
        <v>10</v>
      </c>
      <c r="S12" s="37" t="s">
        <v>11</v>
      </c>
      <c r="T12" s="36" t="s">
        <v>10</v>
      </c>
      <c r="U12" s="37" t="s">
        <v>11</v>
      </c>
      <c r="V12" s="36" t="s">
        <v>10</v>
      </c>
      <c r="W12" s="37" t="s">
        <v>11</v>
      </c>
      <c r="X12" s="194"/>
      <c r="Y12" s="188"/>
      <c r="Z12" s="188"/>
      <c r="AA12" s="188"/>
      <c r="AB12" s="188"/>
      <c r="AC12" s="194"/>
      <c r="AD12" s="194"/>
      <c r="AE12" s="209"/>
      <c r="AF12" s="194"/>
      <c r="AG12" s="194"/>
      <c r="AH12" s="25" t="s">
        <v>88</v>
      </c>
      <c r="AI12" s="25" t="s">
        <v>1</v>
      </c>
      <c r="AJ12" s="25" t="s">
        <v>87</v>
      </c>
      <c r="AK12" s="25" t="s">
        <v>118</v>
      </c>
      <c r="AL12" s="25" t="s">
        <v>2</v>
      </c>
      <c r="AM12" s="194"/>
      <c r="AN12" s="194"/>
      <c r="AO12" s="194"/>
      <c r="AP12" s="220"/>
      <c r="AQ12" s="194"/>
      <c r="AR12" s="194"/>
      <c r="AS12" s="194"/>
      <c r="AT12" s="194"/>
      <c r="AU12" s="194"/>
      <c r="AV12" s="194"/>
      <c r="AW12" s="194"/>
      <c r="AX12" s="209"/>
      <c r="AY12" s="206"/>
      <c r="AZ12" s="194"/>
      <c r="BA12" s="206"/>
      <c r="BB12" s="194"/>
      <c r="BC12" s="194"/>
      <c r="BD12" s="194"/>
      <c r="BE12" s="197"/>
      <c r="BF12" s="200"/>
    </row>
    <row r="13" spans="1:58" ht="16.5" thickBot="1">
      <c r="A13" s="51" t="s">
        <v>14</v>
      </c>
      <c r="B13" s="49">
        <v>2</v>
      </c>
      <c r="C13" s="50">
        <v>3</v>
      </c>
      <c r="D13" s="50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49">
        <v>21</v>
      </c>
      <c r="V13" s="50">
        <v>22</v>
      </c>
      <c r="W13" s="50">
        <v>23</v>
      </c>
      <c r="X13" s="50">
        <v>24</v>
      </c>
      <c r="Y13" s="50">
        <v>25</v>
      </c>
      <c r="Z13" s="50">
        <v>26</v>
      </c>
      <c r="AA13" s="50">
        <v>27</v>
      </c>
      <c r="AB13" s="50">
        <v>28</v>
      </c>
      <c r="AC13" s="52">
        <v>29</v>
      </c>
      <c r="AD13" s="52">
        <v>30</v>
      </c>
      <c r="AE13" s="52">
        <v>31</v>
      </c>
      <c r="AF13" s="52">
        <v>32</v>
      </c>
      <c r="AG13" s="53">
        <v>33</v>
      </c>
      <c r="AH13" s="53">
        <v>34</v>
      </c>
      <c r="AI13" s="53">
        <v>35</v>
      </c>
      <c r="AJ13" s="53">
        <v>36</v>
      </c>
      <c r="AK13" s="53">
        <v>37</v>
      </c>
      <c r="AL13" s="53">
        <v>38</v>
      </c>
      <c r="AM13" s="54">
        <v>39</v>
      </c>
      <c r="AN13" s="54">
        <v>40</v>
      </c>
      <c r="AO13" s="54">
        <v>41</v>
      </c>
      <c r="AP13" s="54">
        <v>42</v>
      </c>
      <c r="AQ13" s="54">
        <v>43</v>
      </c>
      <c r="AR13" s="54">
        <v>44</v>
      </c>
      <c r="AS13" s="54">
        <v>45</v>
      </c>
      <c r="AT13" s="55">
        <v>46</v>
      </c>
      <c r="AU13" s="55">
        <v>47</v>
      </c>
      <c r="AV13" s="55">
        <v>48</v>
      </c>
      <c r="AW13" s="55">
        <v>49</v>
      </c>
      <c r="AX13" s="55">
        <v>50</v>
      </c>
      <c r="AY13" s="56">
        <v>51</v>
      </c>
      <c r="AZ13" s="57">
        <v>52</v>
      </c>
      <c r="BA13" s="58">
        <v>53</v>
      </c>
      <c r="BB13" s="58">
        <v>54</v>
      </c>
      <c r="BC13" s="59">
        <v>55</v>
      </c>
      <c r="BD13" s="58">
        <v>56</v>
      </c>
      <c r="BE13" s="60">
        <v>57</v>
      </c>
      <c r="BF13" s="60">
        <v>58</v>
      </c>
    </row>
    <row r="14" spans="1:58" ht="61.5" customHeight="1">
      <c r="A14" s="61" t="s">
        <v>14</v>
      </c>
      <c r="B14" s="26" t="s">
        <v>94</v>
      </c>
      <c r="C14" s="39">
        <v>21</v>
      </c>
      <c r="D14" s="26" t="s">
        <v>119</v>
      </c>
      <c r="E14" s="46">
        <v>5</v>
      </c>
      <c r="F14" s="47">
        <v>77.14</v>
      </c>
      <c r="G14" s="33">
        <v>6</v>
      </c>
      <c r="H14" s="33">
        <f t="shared" ref="H14:H20" si="0">F14*G14/100</f>
        <v>4.6284000000000001</v>
      </c>
      <c r="I14" s="33"/>
      <c r="J14" s="33">
        <f t="shared" ref="J14:J20" si="1">F14*I14/100</f>
        <v>0</v>
      </c>
      <c r="K14" s="33">
        <v>0</v>
      </c>
      <c r="L14" s="33">
        <f t="shared" ref="L14:L20" si="2">F14*K14/100</f>
        <v>0</v>
      </c>
      <c r="M14" s="33">
        <v>0</v>
      </c>
      <c r="N14" s="33">
        <v>0</v>
      </c>
      <c r="O14" s="33">
        <f t="shared" ref="O14:O20" si="3">F14*N14/100</f>
        <v>0</v>
      </c>
      <c r="P14" s="33"/>
      <c r="Q14" s="33"/>
      <c r="R14" s="33">
        <v>40</v>
      </c>
      <c r="S14" s="33">
        <f t="shared" ref="S14:S20" si="4">(F14+H14+J14+L14+M14+O14+Q14)*R14/100</f>
        <v>32.707360000000001</v>
      </c>
      <c r="T14" s="33">
        <v>30</v>
      </c>
      <c r="U14" s="33">
        <f t="shared" ref="U14:U20" si="5">(F14+H14+J14+L14+M14+O14+Q14+S14)*30/100</f>
        <v>34.342728000000001</v>
      </c>
      <c r="V14" s="33">
        <v>30</v>
      </c>
      <c r="W14" s="33">
        <f t="shared" ref="W14:W26" si="6">U14</f>
        <v>34.342728000000001</v>
      </c>
      <c r="X14" s="24">
        <f t="shared" ref="X14:X20" si="7">F14+H14+J14+L14+M14+O14+Q14+S14+U14+W14</f>
        <v>183.161216</v>
      </c>
      <c r="Y14" s="62">
        <f>3000/1970</f>
        <v>1.5228426395939085</v>
      </c>
      <c r="Z14" s="62">
        <f>X14*0.06</f>
        <v>10.98967296</v>
      </c>
      <c r="AA14" s="62">
        <f>X14*0.07</f>
        <v>12.821285120000001</v>
      </c>
      <c r="AB14" s="62">
        <f>X14+Y14+Z14+AA14</f>
        <v>208.49501671959391</v>
      </c>
      <c r="AC14" s="24">
        <f>AB14*0.302</f>
        <v>62.965495049317354</v>
      </c>
      <c r="AD14" s="24">
        <f>AB14*0.098</f>
        <v>20.432511638520204</v>
      </c>
      <c r="AE14" s="62">
        <f>AB14*1.013*0.05</f>
        <v>10.560272596847431</v>
      </c>
      <c r="AF14" s="21" t="s">
        <v>24</v>
      </c>
      <c r="AG14" s="21">
        <v>30.04</v>
      </c>
      <c r="AH14" s="33">
        <v>1.9</v>
      </c>
      <c r="AI14" s="63">
        <f>AH14</f>
        <v>1.9</v>
      </c>
      <c r="AJ14" s="63"/>
      <c r="AK14" s="63">
        <f>AI14*1.15</f>
        <v>2.1849999999999996</v>
      </c>
      <c r="AL14" s="62">
        <f>(AI14*9+AK14*3)/12</f>
        <v>1.9712499999999997</v>
      </c>
      <c r="AM14" s="62">
        <f>AG14*AL14</f>
        <v>59.216349999999991</v>
      </c>
      <c r="AN14" s="24" t="s">
        <v>74</v>
      </c>
      <c r="AO14" s="24">
        <v>50.1</v>
      </c>
      <c r="AP14" s="24">
        <v>2.4</v>
      </c>
      <c r="AQ14" s="62">
        <f t="shared" ref="AQ14:AQ30" si="8">AL14*AP14/100*AO14</f>
        <v>2.3702309999999995</v>
      </c>
      <c r="AR14" s="33">
        <v>50000</v>
      </c>
      <c r="AS14" s="33">
        <v>23</v>
      </c>
      <c r="AT14" s="22" t="s">
        <v>77</v>
      </c>
      <c r="AU14" s="22">
        <v>4422.03</v>
      </c>
      <c r="AV14" s="33">
        <v>2</v>
      </c>
      <c r="AW14" s="64">
        <f>AU14*AV14/AR14*AS14</f>
        <v>4.0682675999999995</v>
      </c>
      <c r="AX14" s="33">
        <v>48.62</v>
      </c>
      <c r="AY14" s="24">
        <v>17.510000000000002</v>
      </c>
      <c r="AZ14" s="24"/>
      <c r="BA14" s="24">
        <v>5.19</v>
      </c>
      <c r="BB14" s="24"/>
      <c r="BC14" s="168">
        <f>AB14+AC14+AD14+AM14+AQ14+AW14+AX14+AY14+AZ14+BA14+BB14</f>
        <v>428.86787200743146</v>
      </c>
      <c r="BD14" s="164">
        <f>AB14*0.2</f>
        <v>41.699003343918783</v>
      </c>
      <c r="BE14" s="168">
        <f>BC14+AE14+BD14</f>
        <v>481.12714794819766</v>
      </c>
      <c r="BF14" s="171">
        <f t="shared" ref="BF14:BF42" si="9">BC14-AD14</f>
        <v>408.43536036891123</v>
      </c>
    </row>
    <row r="15" spans="1:58" ht="58.5" customHeight="1">
      <c r="A15" s="28" t="s">
        <v>28</v>
      </c>
      <c r="B15" s="20" t="s">
        <v>95</v>
      </c>
      <c r="C15" s="42">
        <v>31</v>
      </c>
      <c r="D15" s="20" t="s">
        <v>119</v>
      </c>
      <c r="E15" s="40">
        <v>5</v>
      </c>
      <c r="F15" s="41">
        <v>77.14</v>
      </c>
      <c r="G15" s="35">
        <v>6</v>
      </c>
      <c r="H15" s="35">
        <f t="shared" si="0"/>
        <v>4.6284000000000001</v>
      </c>
      <c r="I15" s="35"/>
      <c r="J15" s="35">
        <f t="shared" si="1"/>
        <v>0</v>
      </c>
      <c r="K15" s="35">
        <v>0</v>
      </c>
      <c r="L15" s="35">
        <f t="shared" si="2"/>
        <v>0</v>
      </c>
      <c r="M15" s="35">
        <v>0</v>
      </c>
      <c r="N15" s="35">
        <v>0</v>
      </c>
      <c r="O15" s="35">
        <f t="shared" si="3"/>
        <v>0</v>
      </c>
      <c r="P15" s="35"/>
      <c r="Q15" s="35"/>
      <c r="R15" s="35">
        <v>40</v>
      </c>
      <c r="S15" s="35">
        <f t="shared" si="4"/>
        <v>32.707360000000001</v>
      </c>
      <c r="T15" s="35">
        <v>30</v>
      </c>
      <c r="U15" s="35">
        <f t="shared" si="5"/>
        <v>34.342728000000001</v>
      </c>
      <c r="V15" s="35">
        <v>30</v>
      </c>
      <c r="W15" s="35">
        <f t="shared" si="6"/>
        <v>34.342728000000001</v>
      </c>
      <c r="X15" s="12">
        <f t="shared" si="7"/>
        <v>183.161216</v>
      </c>
      <c r="Y15" s="65">
        <f t="shared" ref="Y15:Y39" si="10">3000/1970</f>
        <v>1.5228426395939085</v>
      </c>
      <c r="Z15" s="65">
        <f t="shared" ref="Z15:Z39" si="11">X15*0.06</f>
        <v>10.98967296</v>
      </c>
      <c r="AA15" s="65">
        <f t="shared" ref="AA15:AA39" si="12">X15*0.07</f>
        <v>12.821285120000001</v>
      </c>
      <c r="AB15" s="65">
        <f t="shared" ref="AB15:AB39" si="13">X15+Y15+Z15+AA15</f>
        <v>208.49501671959391</v>
      </c>
      <c r="AC15" s="12">
        <f t="shared" ref="AC15:AC39" si="14">AB15*0.302</f>
        <v>62.965495049317354</v>
      </c>
      <c r="AD15" s="12">
        <f t="shared" ref="AD15:AD34" si="15">AB15*0.098</f>
        <v>20.432511638520204</v>
      </c>
      <c r="AE15" s="65">
        <f t="shared" ref="AE15:AE39" si="16">AB15*1.013*0.05</f>
        <v>10.560272596847431</v>
      </c>
      <c r="AF15" s="9" t="s">
        <v>24</v>
      </c>
      <c r="AG15" s="9">
        <v>30.04</v>
      </c>
      <c r="AH15" s="35">
        <v>1.6</v>
      </c>
      <c r="AI15" s="66">
        <f t="shared" ref="AI15:AI34" si="17">AH15</f>
        <v>1.6</v>
      </c>
      <c r="AJ15" s="66"/>
      <c r="AK15" s="66">
        <f t="shared" ref="AK15:AK34" si="18">AI15*1.15</f>
        <v>1.8399999999999999</v>
      </c>
      <c r="AL15" s="65">
        <f t="shared" ref="AL15:AL35" si="19">(AI15*9+AK15*3)/12</f>
        <v>1.6600000000000001</v>
      </c>
      <c r="AM15" s="65">
        <f t="shared" ref="AM15:AM34" si="20">AG15*AL15</f>
        <v>49.866400000000006</v>
      </c>
      <c r="AN15" s="12" t="s">
        <v>74</v>
      </c>
      <c r="AO15" s="12">
        <v>50.1</v>
      </c>
      <c r="AP15" s="12">
        <v>2.4</v>
      </c>
      <c r="AQ15" s="65">
        <f t="shared" si="8"/>
        <v>1.995984</v>
      </c>
      <c r="AR15" s="35">
        <v>50000</v>
      </c>
      <c r="AS15" s="35">
        <v>23</v>
      </c>
      <c r="AT15" s="10" t="s">
        <v>77</v>
      </c>
      <c r="AU15" s="10">
        <v>4422.03</v>
      </c>
      <c r="AV15" s="35">
        <v>2</v>
      </c>
      <c r="AW15" s="67">
        <f t="shared" ref="AW15:AW34" si="21">AU15*AV15/AR15*AS15</f>
        <v>4.0682675999999995</v>
      </c>
      <c r="AX15" s="35">
        <v>48.62</v>
      </c>
      <c r="AY15" s="12">
        <v>17.510000000000002</v>
      </c>
      <c r="AZ15" s="12"/>
      <c r="BA15" s="12">
        <v>5.19</v>
      </c>
      <c r="BB15" s="12"/>
      <c r="BC15" s="169">
        <f t="shared" ref="BC15:BC62" si="22">AB15+AC15+AD15+AM15+AQ15+AW15+AX15+AY15+AZ15+BA15+BB15</f>
        <v>419.14367500743151</v>
      </c>
      <c r="BD15" s="165">
        <f t="shared" ref="BD15:BD39" si="23">AB15*0.2</f>
        <v>41.699003343918783</v>
      </c>
      <c r="BE15" s="169">
        <f t="shared" ref="BE15:BE39" si="24">BC15+AE15+BD15</f>
        <v>471.40295094819771</v>
      </c>
      <c r="BF15" s="172">
        <f t="shared" si="9"/>
        <v>398.71116336891129</v>
      </c>
    </row>
    <row r="16" spans="1:58" ht="47.25">
      <c r="A16" s="28" t="s">
        <v>29</v>
      </c>
      <c r="B16" s="20" t="s">
        <v>96</v>
      </c>
      <c r="C16" s="7">
        <v>41</v>
      </c>
      <c r="D16" s="20" t="s">
        <v>119</v>
      </c>
      <c r="E16" s="40">
        <v>5</v>
      </c>
      <c r="F16" s="41">
        <v>77.14</v>
      </c>
      <c r="G16" s="35">
        <v>6</v>
      </c>
      <c r="H16" s="35">
        <f t="shared" si="0"/>
        <v>4.6284000000000001</v>
      </c>
      <c r="I16" s="35"/>
      <c r="J16" s="35">
        <f t="shared" si="1"/>
        <v>0</v>
      </c>
      <c r="K16" s="35">
        <v>0</v>
      </c>
      <c r="L16" s="35">
        <f t="shared" si="2"/>
        <v>0</v>
      </c>
      <c r="M16" s="35">
        <v>0</v>
      </c>
      <c r="N16" s="35">
        <v>0</v>
      </c>
      <c r="O16" s="35">
        <f t="shared" si="3"/>
        <v>0</v>
      </c>
      <c r="P16" s="35"/>
      <c r="Q16" s="35"/>
      <c r="R16" s="35">
        <v>40</v>
      </c>
      <c r="S16" s="35">
        <f t="shared" si="4"/>
        <v>32.707360000000001</v>
      </c>
      <c r="T16" s="35">
        <v>30</v>
      </c>
      <c r="U16" s="35">
        <f t="shared" si="5"/>
        <v>34.342728000000001</v>
      </c>
      <c r="V16" s="35">
        <v>30</v>
      </c>
      <c r="W16" s="35">
        <f t="shared" si="6"/>
        <v>34.342728000000001</v>
      </c>
      <c r="X16" s="12">
        <f t="shared" si="7"/>
        <v>183.161216</v>
      </c>
      <c r="Y16" s="65">
        <f t="shared" si="10"/>
        <v>1.5228426395939085</v>
      </c>
      <c r="Z16" s="65">
        <f t="shared" si="11"/>
        <v>10.98967296</v>
      </c>
      <c r="AA16" s="65">
        <f t="shared" si="12"/>
        <v>12.821285120000001</v>
      </c>
      <c r="AB16" s="65">
        <f t="shared" si="13"/>
        <v>208.49501671959391</v>
      </c>
      <c r="AC16" s="12">
        <f t="shared" si="14"/>
        <v>62.965495049317354</v>
      </c>
      <c r="AD16" s="12">
        <f t="shared" si="15"/>
        <v>20.432511638520204</v>
      </c>
      <c r="AE16" s="65">
        <f t="shared" si="16"/>
        <v>10.560272596847431</v>
      </c>
      <c r="AF16" s="9" t="s">
        <v>24</v>
      </c>
      <c r="AG16" s="9">
        <v>30.04</v>
      </c>
      <c r="AH16" s="35">
        <v>2.6</v>
      </c>
      <c r="AI16" s="66">
        <f t="shared" si="17"/>
        <v>2.6</v>
      </c>
      <c r="AJ16" s="66"/>
      <c r="AK16" s="66">
        <f t="shared" si="18"/>
        <v>2.9899999999999998</v>
      </c>
      <c r="AL16" s="65">
        <f t="shared" si="19"/>
        <v>2.6975000000000002</v>
      </c>
      <c r="AM16" s="65">
        <f t="shared" si="20"/>
        <v>81.032899999999998</v>
      </c>
      <c r="AN16" s="12" t="s">
        <v>74</v>
      </c>
      <c r="AO16" s="12">
        <v>50.1</v>
      </c>
      <c r="AP16" s="12">
        <v>2.4</v>
      </c>
      <c r="AQ16" s="65">
        <f t="shared" si="8"/>
        <v>3.2434740000000004</v>
      </c>
      <c r="AR16" s="35">
        <v>50000</v>
      </c>
      <c r="AS16" s="35">
        <v>23</v>
      </c>
      <c r="AT16" s="10" t="s">
        <v>77</v>
      </c>
      <c r="AU16" s="10">
        <v>4422.03</v>
      </c>
      <c r="AV16" s="35">
        <v>2</v>
      </c>
      <c r="AW16" s="67">
        <f t="shared" si="21"/>
        <v>4.0682675999999995</v>
      </c>
      <c r="AX16" s="35">
        <v>48.62</v>
      </c>
      <c r="AY16" s="12">
        <v>17.510000000000002</v>
      </c>
      <c r="AZ16" s="12"/>
      <c r="BA16" s="12">
        <v>5.19</v>
      </c>
      <c r="BB16" s="12"/>
      <c r="BC16" s="169">
        <f t="shared" si="22"/>
        <v>451.55766500743147</v>
      </c>
      <c r="BD16" s="165">
        <f t="shared" si="23"/>
        <v>41.699003343918783</v>
      </c>
      <c r="BE16" s="169">
        <f t="shared" si="24"/>
        <v>503.81694094819767</v>
      </c>
      <c r="BF16" s="172">
        <f t="shared" si="9"/>
        <v>431.12515336891124</v>
      </c>
    </row>
    <row r="17" spans="1:58" ht="47.25">
      <c r="A17" s="28" t="s">
        <v>30</v>
      </c>
      <c r="B17" s="20" t="s">
        <v>97</v>
      </c>
      <c r="C17" s="7">
        <v>51</v>
      </c>
      <c r="D17" s="20" t="s">
        <v>119</v>
      </c>
      <c r="E17" s="40">
        <v>5</v>
      </c>
      <c r="F17" s="41">
        <v>77.14</v>
      </c>
      <c r="G17" s="35">
        <v>6</v>
      </c>
      <c r="H17" s="35">
        <f t="shared" si="0"/>
        <v>4.6284000000000001</v>
      </c>
      <c r="I17" s="35"/>
      <c r="J17" s="35">
        <f t="shared" si="1"/>
        <v>0</v>
      </c>
      <c r="K17" s="35">
        <v>0</v>
      </c>
      <c r="L17" s="35">
        <f t="shared" si="2"/>
        <v>0</v>
      </c>
      <c r="M17" s="35">
        <v>0</v>
      </c>
      <c r="N17" s="35">
        <v>0</v>
      </c>
      <c r="O17" s="35">
        <f t="shared" si="3"/>
        <v>0</v>
      </c>
      <c r="P17" s="35"/>
      <c r="Q17" s="35"/>
      <c r="R17" s="35">
        <v>40</v>
      </c>
      <c r="S17" s="35">
        <f t="shared" si="4"/>
        <v>32.707360000000001</v>
      </c>
      <c r="T17" s="35">
        <v>30</v>
      </c>
      <c r="U17" s="35">
        <f t="shared" si="5"/>
        <v>34.342728000000001</v>
      </c>
      <c r="V17" s="35">
        <v>30</v>
      </c>
      <c r="W17" s="35">
        <f t="shared" si="6"/>
        <v>34.342728000000001</v>
      </c>
      <c r="X17" s="12">
        <f t="shared" si="7"/>
        <v>183.161216</v>
      </c>
      <c r="Y17" s="65">
        <f t="shared" si="10"/>
        <v>1.5228426395939085</v>
      </c>
      <c r="Z17" s="65">
        <f t="shared" si="11"/>
        <v>10.98967296</v>
      </c>
      <c r="AA17" s="65">
        <f t="shared" si="12"/>
        <v>12.821285120000001</v>
      </c>
      <c r="AB17" s="65">
        <f t="shared" si="13"/>
        <v>208.49501671959391</v>
      </c>
      <c r="AC17" s="12">
        <f t="shared" si="14"/>
        <v>62.965495049317354</v>
      </c>
      <c r="AD17" s="12">
        <f t="shared" si="15"/>
        <v>20.432511638520204</v>
      </c>
      <c r="AE17" s="65">
        <f t="shared" si="16"/>
        <v>10.560272596847431</v>
      </c>
      <c r="AF17" s="9" t="s">
        <v>24</v>
      </c>
      <c r="AG17" s="9">
        <v>30.04</v>
      </c>
      <c r="AH17" s="68">
        <v>3</v>
      </c>
      <c r="AI17" s="66">
        <f t="shared" si="17"/>
        <v>3</v>
      </c>
      <c r="AJ17" s="69"/>
      <c r="AK17" s="66">
        <f t="shared" si="18"/>
        <v>3.4499999999999997</v>
      </c>
      <c r="AL17" s="65">
        <f t="shared" si="19"/>
        <v>3.1125000000000003</v>
      </c>
      <c r="AM17" s="65">
        <f t="shared" si="20"/>
        <v>93.499500000000012</v>
      </c>
      <c r="AN17" s="12" t="s">
        <v>74</v>
      </c>
      <c r="AO17" s="12">
        <v>50.1</v>
      </c>
      <c r="AP17" s="12">
        <v>2.4</v>
      </c>
      <c r="AQ17" s="65">
        <f t="shared" si="8"/>
        <v>3.7424700000000004</v>
      </c>
      <c r="AR17" s="35">
        <v>50000</v>
      </c>
      <c r="AS17" s="35">
        <v>23</v>
      </c>
      <c r="AT17" s="10" t="s">
        <v>77</v>
      </c>
      <c r="AU17" s="10">
        <v>4422.03</v>
      </c>
      <c r="AV17" s="35">
        <v>2</v>
      </c>
      <c r="AW17" s="67">
        <f t="shared" si="21"/>
        <v>4.0682675999999995</v>
      </c>
      <c r="AX17" s="35">
        <v>48.62</v>
      </c>
      <c r="AY17" s="12">
        <v>17.510000000000002</v>
      </c>
      <c r="AZ17" s="12"/>
      <c r="BA17" s="12">
        <v>5.19</v>
      </c>
      <c r="BB17" s="12"/>
      <c r="BC17" s="169">
        <f t="shared" si="22"/>
        <v>464.52326100743153</v>
      </c>
      <c r="BD17" s="165">
        <f t="shared" si="23"/>
        <v>41.699003343918783</v>
      </c>
      <c r="BE17" s="169">
        <f t="shared" si="24"/>
        <v>516.78253694819773</v>
      </c>
      <c r="BF17" s="172">
        <f t="shared" si="9"/>
        <v>444.0907493689113</v>
      </c>
    </row>
    <row r="18" spans="1:58" ht="47.25">
      <c r="A18" s="28" t="s">
        <v>31</v>
      </c>
      <c r="B18" s="20" t="s">
        <v>98</v>
      </c>
      <c r="C18" s="7">
        <v>181</v>
      </c>
      <c r="D18" s="20" t="s">
        <v>119</v>
      </c>
      <c r="E18" s="40">
        <v>5</v>
      </c>
      <c r="F18" s="41">
        <v>77.14</v>
      </c>
      <c r="G18" s="35">
        <v>6</v>
      </c>
      <c r="H18" s="35">
        <f t="shared" si="0"/>
        <v>4.6284000000000001</v>
      </c>
      <c r="I18" s="12"/>
      <c r="J18" s="35">
        <f t="shared" si="1"/>
        <v>0</v>
      </c>
      <c r="K18" s="12"/>
      <c r="L18" s="35">
        <f t="shared" si="2"/>
        <v>0</v>
      </c>
      <c r="M18" s="12"/>
      <c r="N18" s="12"/>
      <c r="O18" s="35">
        <f t="shared" si="3"/>
        <v>0</v>
      </c>
      <c r="P18" s="12"/>
      <c r="Q18" s="35"/>
      <c r="R18" s="35">
        <v>40</v>
      </c>
      <c r="S18" s="35">
        <f t="shared" si="4"/>
        <v>32.707360000000001</v>
      </c>
      <c r="T18" s="35">
        <v>30</v>
      </c>
      <c r="U18" s="35">
        <f t="shared" si="5"/>
        <v>34.342728000000001</v>
      </c>
      <c r="V18" s="35">
        <v>30</v>
      </c>
      <c r="W18" s="35">
        <f t="shared" si="6"/>
        <v>34.342728000000001</v>
      </c>
      <c r="X18" s="12">
        <f t="shared" si="7"/>
        <v>183.161216</v>
      </c>
      <c r="Y18" s="65">
        <f t="shared" si="10"/>
        <v>1.5228426395939085</v>
      </c>
      <c r="Z18" s="65">
        <f t="shared" si="11"/>
        <v>10.98967296</v>
      </c>
      <c r="AA18" s="65">
        <f t="shared" si="12"/>
        <v>12.821285120000001</v>
      </c>
      <c r="AB18" s="65">
        <f t="shared" si="13"/>
        <v>208.49501671959391</v>
      </c>
      <c r="AC18" s="12">
        <f t="shared" si="14"/>
        <v>62.965495049317354</v>
      </c>
      <c r="AD18" s="12">
        <f t="shared" si="15"/>
        <v>20.432511638520204</v>
      </c>
      <c r="AE18" s="65">
        <f t="shared" si="16"/>
        <v>10.560272596847431</v>
      </c>
      <c r="AF18" s="9" t="s">
        <v>26</v>
      </c>
      <c r="AG18" s="9">
        <v>31.43</v>
      </c>
      <c r="AH18" s="35">
        <v>3</v>
      </c>
      <c r="AI18" s="66">
        <f t="shared" si="17"/>
        <v>3</v>
      </c>
      <c r="AJ18" s="69"/>
      <c r="AK18" s="66">
        <f t="shared" si="18"/>
        <v>3.4499999999999997</v>
      </c>
      <c r="AL18" s="65">
        <f t="shared" si="19"/>
        <v>3.1125000000000003</v>
      </c>
      <c r="AM18" s="65">
        <f t="shared" si="20"/>
        <v>97.825875000000011</v>
      </c>
      <c r="AN18" s="12" t="s">
        <v>74</v>
      </c>
      <c r="AO18" s="12">
        <v>50.1</v>
      </c>
      <c r="AP18" s="12">
        <v>2.4</v>
      </c>
      <c r="AQ18" s="65">
        <f t="shared" si="8"/>
        <v>3.7424700000000004</v>
      </c>
      <c r="AR18" s="35">
        <v>50000</v>
      </c>
      <c r="AS18" s="35">
        <v>23</v>
      </c>
      <c r="AT18" s="10" t="s">
        <v>77</v>
      </c>
      <c r="AU18" s="10">
        <v>4422.03</v>
      </c>
      <c r="AV18" s="35">
        <v>2</v>
      </c>
      <c r="AW18" s="67">
        <f t="shared" si="21"/>
        <v>4.0682675999999995</v>
      </c>
      <c r="AX18" s="35">
        <v>48.62</v>
      </c>
      <c r="AY18" s="12">
        <v>17.510000000000002</v>
      </c>
      <c r="AZ18" s="12"/>
      <c r="BA18" s="12">
        <v>5.19</v>
      </c>
      <c r="BB18" s="12"/>
      <c r="BC18" s="169">
        <f t="shared" si="22"/>
        <v>468.84963600743151</v>
      </c>
      <c r="BD18" s="165">
        <f t="shared" si="23"/>
        <v>41.699003343918783</v>
      </c>
      <c r="BE18" s="169">
        <f t="shared" si="24"/>
        <v>521.10891194819771</v>
      </c>
      <c r="BF18" s="172">
        <f t="shared" si="9"/>
        <v>448.41712436891129</v>
      </c>
    </row>
    <row r="19" spans="1:58" ht="47.25">
      <c r="A19" s="28" t="s">
        <v>32</v>
      </c>
      <c r="B19" s="20" t="s">
        <v>99</v>
      </c>
      <c r="C19" s="7">
        <v>191</v>
      </c>
      <c r="D19" s="20" t="s">
        <v>119</v>
      </c>
      <c r="E19" s="40">
        <v>5</v>
      </c>
      <c r="F19" s="41">
        <v>77.14</v>
      </c>
      <c r="G19" s="35">
        <v>6</v>
      </c>
      <c r="H19" s="35">
        <f t="shared" si="0"/>
        <v>4.6284000000000001</v>
      </c>
      <c r="I19" s="12"/>
      <c r="J19" s="35">
        <f t="shared" si="1"/>
        <v>0</v>
      </c>
      <c r="K19" s="12"/>
      <c r="L19" s="35">
        <f t="shared" si="2"/>
        <v>0</v>
      </c>
      <c r="M19" s="12"/>
      <c r="N19" s="12"/>
      <c r="O19" s="35">
        <f t="shared" si="3"/>
        <v>0</v>
      </c>
      <c r="P19" s="12"/>
      <c r="Q19" s="35"/>
      <c r="R19" s="35">
        <v>40</v>
      </c>
      <c r="S19" s="35">
        <f t="shared" si="4"/>
        <v>32.707360000000001</v>
      </c>
      <c r="T19" s="35">
        <v>30</v>
      </c>
      <c r="U19" s="35">
        <f t="shared" si="5"/>
        <v>34.342728000000001</v>
      </c>
      <c r="V19" s="35">
        <v>30</v>
      </c>
      <c r="W19" s="35">
        <f t="shared" si="6"/>
        <v>34.342728000000001</v>
      </c>
      <c r="X19" s="12">
        <f t="shared" si="7"/>
        <v>183.161216</v>
      </c>
      <c r="Y19" s="65">
        <f t="shared" si="10"/>
        <v>1.5228426395939085</v>
      </c>
      <c r="Z19" s="65">
        <f t="shared" si="11"/>
        <v>10.98967296</v>
      </c>
      <c r="AA19" s="65">
        <f t="shared" si="12"/>
        <v>12.821285120000001</v>
      </c>
      <c r="AB19" s="65">
        <f t="shared" si="13"/>
        <v>208.49501671959391</v>
      </c>
      <c r="AC19" s="12">
        <f t="shared" si="14"/>
        <v>62.965495049317354</v>
      </c>
      <c r="AD19" s="12">
        <f t="shared" si="15"/>
        <v>20.432511638520204</v>
      </c>
      <c r="AE19" s="65">
        <f t="shared" si="16"/>
        <v>10.560272596847431</v>
      </c>
      <c r="AF19" s="9" t="s">
        <v>26</v>
      </c>
      <c r="AG19" s="9">
        <v>31.43</v>
      </c>
      <c r="AH19" s="68">
        <v>2</v>
      </c>
      <c r="AI19" s="66">
        <f t="shared" si="17"/>
        <v>2</v>
      </c>
      <c r="AJ19" s="69"/>
      <c r="AK19" s="66">
        <f t="shared" si="18"/>
        <v>2.2999999999999998</v>
      </c>
      <c r="AL19" s="65">
        <f t="shared" si="19"/>
        <v>2.0749999999999997</v>
      </c>
      <c r="AM19" s="65">
        <f t="shared" si="20"/>
        <v>65.217249999999993</v>
      </c>
      <c r="AN19" s="12" t="s">
        <v>74</v>
      </c>
      <c r="AO19" s="12">
        <v>50.1</v>
      </c>
      <c r="AP19" s="12">
        <v>2.4</v>
      </c>
      <c r="AQ19" s="65">
        <f t="shared" si="8"/>
        <v>2.49498</v>
      </c>
      <c r="AR19" s="35">
        <v>50000</v>
      </c>
      <c r="AS19" s="35">
        <v>23</v>
      </c>
      <c r="AT19" s="10" t="s">
        <v>77</v>
      </c>
      <c r="AU19" s="10">
        <v>4422.03</v>
      </c>
      <c r="AV19" s="35">
        <v>2</v>
      </c>
      <c r="AW19" s="67">
        <f t="shared" si="21"/>
        <v>4.0682675999999995</v>
      </c>
      <c r="AX19" s="35">
        <v>48.62</v>
      </c>
      <c r="AY19" s="12">
        <v>17.510000000000002</v>
      </c>
      <c r="AZ19" s="12"/>
      <c r="BA19" s="12">
        <v>5.19</v>
      </c>
      <c r="BB19" s="12"/>
      <c r="BC19" s="169">
        <f t="shared" si="22"/>
        <v>434.99352100743147</v>
      </c>
      <c r="BD19" s="165">
        <f t="shared" si="23"/>
        <v>41.699003343918783</v>
      </c>
      <c r="BE19" s="169">
        <f t="shared" si="24"/>
        <v>487.25279694819767</v>
      </c>
      <c r="BF19" s="172">
        <f t="shared" si="9"/>
        <v>414.56100936891124</v>
      </c>
    </row>
    <row r="20" spans="1:58" ht="47.25">
      <c r="A20" s="28" t="s">
        <v>33</v>
      </c>
      <c r="B20" s="20" t="s">
        <v>100</v>
      </c>
      <c r="C20" s="7">
        <v>201</v>
      </c>
      <c r="D20" s="20" t="s">
        <v>119</v>
      </c>
      <c r="E20" s="40">
        <v>5</v>
      </c>
      <c r="F20" s="41">
        <v>77.14</v>
      </c>
      <c r="G20" s="35">
        <v>6</v>
      </c>
      <c r="H20" s="35">
        <f t="shared" si="0"/>
        <v>4.6284000000000001</v>
      </c>
      <c r="I20" s="12"/>
      <c r="J20" s="35">
        <f t="shared" si="1"/>
        <v>0</v>
      </c>
      <c r="K20" s="12"/>
      <c r="L20" s="35">
        <f t="shared" si="2"/>
        <v>0</v>
      </c>
      <c r="M20" s="12"/>
      <c r="N20" s="12"/>
      <c r="O20" s="35">
        <f t="shared" si="3"/>
        <v>0</v>
      </c>
      <c r="P20" s="12"/>
      <c r="Q20" s="35"/>
      <c r="R20" s="35">
        <v>40</v>
      </c>
      <c r="S20" s="35">
        <f t="shared" si="4"/>
        <v>32.707360000000001</v>
      </c>
      <c r="T20" s="35">
        <v>30</v>
      </c>
      <c r="U20" s="35">
        <f t="shared" si="5"/>
        <v>34.342728000000001</v>
      </c>
      <c r="V20" s="35">
        <v>30</v>
      </c>
      <c r="W20" s="35">
        <f t="shared" si="6"/>
        <v>34.342728000000001</v>
      </c>
      <c r="X20" s="12">
        <f t="shared" si="7"/>
        <v>183.161216</v>
      </c>
      <c r="Y20" s="65">
        <f t="shared" si="10"/>
        <v>1.5228426395939085</v>
      </c>
      <c r="Z20" s="65">
        <f t="shared" si="11"/>
        <v>10.98967296</v>
      </c>
      <c r="AA20" s="65">
        <f t="shared" si="12"/>
        <v>12.821285120000001</v>
      </c>
      <c r="AB20" s="65">
        <f t="shared" si="13"/>
        <v>208.49501671959391</v>
      </c>
      <c r="AC20" s="12">
        <f t="shared" si="14"/>
        <v>62.965495049317354</v>
      </c>
      <c r="AD20" s="12">
        <f t="shared" si="15"/>
        <v>20.432511638520204</v>
      </c>
      <c r="AE20" s="65">
        <f t="shared" si="16"/>
        <v>10.560272596847431</v>
      </c>
      <c r="AF20" s="9" t="s">
        <v>26</v>
      </c>
      <c r="AG20" s="9">
        <v>31.43</v>
      </c>
      <c r="AH20" s="68">
        <v>3.2</v>
      </c>
      <c r="AI20" s="66">
        <f t="shared" si="17"/>
        <v>3.2</v>
      </c>
      <c r="AJ20" s="69"/>
      <c r="AK20" s="66">
        <f t="shared" si="18"/>
        <v>3.6799999999999997</v>
      </c>
      <c r="AL20" s="65">
        <f t="shared" si="19"/>
        <v>3.3200000000000003</v>
      </c>
      <c r="AM20" s="65">
        <f t="shared" si="20"/>
        <v>104.34760000000001</v>
      </c>
      <c r="AN20" s="12" t="s">
        <v>74</v>
      </c>
      <c r="AO20" s="12">
        <v>50.1</v>
      </c>
      <c r="AP20" s="12">
        <v>2.4</v>
      </c>
      <c r="AQ20" s="65">
        <f t="shared" si="8"/>
        <v>3.991968</v>
      </c>
      <c r="AR20" s="35">
        <v>50000</v>
      </c>
      <c r="AS20" s="35">
        <v>23</v>
      </c>
      <c r="AT20" s="10" t="s">
        <v>77</v>
      </c>
      <c r="AU20" s="10">
        <v>4422.03</v>
      </c>
      <c r="AV20" s="35">
        <v>2</v>
      </c>
      <c r="AW20" s="67">
        <f t="shared" si="21"/>
        <v>4.0682675999999995</v>
      </c>
      <c r="AX20" s="35">
        <v>48.62</v>
      </c>
      <c r="AY20" s="12">
        <v>17.510000000000002</v>
      </c>
      <c r="AZ20" s="12">
        <v>5.41</v>
      </c>
      <c r="BA20" s="12">
        <v>5.19</v>
      </c>
      <c r="BB20" s="12"/>
      <c r="BC20" s="169">
        <f t="shared" si="22"/>
        <v>481.0308590074315</v>
      </c>
      <c r="BD20" s="165">
        <f t="shared" si="23"/>
        <v>41.699003343918783</v>
      </c>
      <c r="BE20" s="169">
        <f t="shared" si="24"/>
        <v>533.29013494819776</v>
      </c>
      <c r="BF20" s="172">
        <f t="shared" si="9"/>
        <v>460.59834736891128</v>
      </c>
    </row>
    <row r="21" spans="1:58" ht="47.25">
      <c r="A21" s="28" t="s">
        <v>34</v>
      </c>
      <c r="B21" s="20" t="s">
        <v>101</v>
      </c>
      <c r="C21" s="43">
        <v>161</v>
      </c>
      <c r="D21" s="20" t="s">
        <v>119</v>
      </c>
      <c r="E21" s="40">
        <v>5</v>
      </c>
      <c r="F21" s="41">
        <v>77.14</v>
      </c>
      <c r="G21" s="35">
        <v>6</v>
      </c>
      <c r="H21" s="35">
        <f t="shared" ref="H21:H26" si="25">F21*G21/100</f>
        <v>4.6284000000000001</v>
      </c>
      <c r="I21" s="35"/>
      <c r="J21" s="35">
        <f t="shared" ref="J21:J26" si="26">F21*I21/100</f>
        <v>0</v>
      </c>
      <c r="K21" s="35">
        <v>0</v>
      </c>
      <c r="L21" s="35">
        <f t="shared" ref="L21:L26" si="27">F21*K21/100</f>
        <v>0</v>
      </c>
      <c r="M21" s="35">
        <v>0</v>
      </c>
      <c r="N21" s="35">
        <v>0</v>
      </c>
      <c r="O21" s="35">
        <f t="shared" ref="O21:O26" si="28">F21*N21/100</f>
        <v>0</v>
      </c>
      <c r="P21" s="35"/>
      <c r="Q21" s="35"/>
      <c r="R21" s="35">
        <v>40</v>
      </c>
      <c r="S21" s="35">
        <f t="shared" ref="S21:S26" si="29">(F21+H21+J21+L21+M21+O21+Q21)*R21/100</f>
        <v>32.707360000000001</v>
      </c>
      <c r="T21" s="35">
        <v>30</v>
      </c>
      <c r="U21" s="35">
        <f t="shared" ref="U21:U26" si="30">(F21+H21+J21+L21+M21+O21+Q21+S21)*30/100</f>
        <v>34.342728000000001</v>
      </c>
      <c r="V21" s="35">
        <v>30</v>
      </c>
      <c r="W21" s="35">
        <f t="shared" si="6"/>
        <v>34.342728000000001</v>
      </c>
      <c r="X21" s="12">
        <f t="shared" ref="X21:X26" si="31">F21+H21+J21+L21+M21+O21+Q21+S21+U21+W21</f>
        <v>183.161216</v>
      </c>
      <c r="Y21" s="65">
        <f t="shared" si="10"/>
        <v>1.5228426395939085</v>
      </c>
      <c r="Z21" s="65">
        <f t="shared" si="11"/>
        <v>10.98967296</v>
      </c>
      <c r="AA21" s="65">
        <f t="shared" si="12"/>
        <v>12.821285120000001</v>
      </c>
      <c r="AB21" s="65">
        <f t="shared" si="13"/>
        <v>208.49501671959391</v>
      </c>
      <c r="AC21" s="12">
        <f t="shared" si="14"/>
        <v>62.965495049317354</v>
      </c>
      <c r="AD21" s="12">
        <f t="shared" si="15"/>
        <v>20.432511638520204</v>
      </c>
      <c r="AE21" s="65">
        <f t="shared" si="16"/>
        <v>10.560272596847431</v>
      </c>
      <c r="AF21" s="12" t="s">
        <v>25</v>
      </c>
      <c r="AG21" s="35">
        <v>26.58</v>
      </c>
      <c r="AH21" s="48">
        <v>11.4</v>
      </c>
      <c r="AI21" s="66">
        <f t="shared" si="17"/>
        <v>11.4</v>
      </c>
      <c r="AJ21" s="66"/>
      <c r="AK21" s="66">
        <f t="shared" si="18"/>
        <v>13.11</v>
      </c>
      <c r="AL21" s="65">
        <f t="shared" si="19"/>
        <v>11.827500000000001</v>
      </c>
      <c r="AM21" s="65">
        <f t="shared" si="20"/>
        <v>314.37495000000001</v>
      </c>
      <c r="AN21" s="12" t="s">
        <v>74</v>
      </c>
      <c r="AO21" s="12">
        <v>50.1</v>
      </c>
      <c r="AP21" s="12">
        <v>2.4</v>
      </c>
      <c r="AQ21" s="65">
        <f t="shared" si="8"/>
        <v>14.221386000000001</v>
      </c>
      <c r="AR21" s="35">
        <v>50000</v>
      </c>
      <c r="AS21" s="35">
        <v>23</v>
      </c>
      <c r="AT21" s="10" t="s">
        <v>77</v>
      </c>
      <c r="AU21" s="10">
        <v>4422.03</v>
      </c>
      <c r="AV21" s="35">
        <v>2</v>
      </c>
      <c r="AW21" s="67">
        <f t="shared" si="21"/>
        <v>4.0682675999999995</v>
      </c>
      <c r="AX21" s="35">
        <v>48.62</v>
      </c>
      <c r="AY21" s="12">
        <v>17.510000000000002</v>
      </c>
      <c r="AZ21" s="12"/>
      <c r="BA21" s="12">
        <v>5.19</v>
      </c>
      <c r="BB21" s="12"/>
      <c r="BC21" s="169">
        <f t="shared" si="22"/>
        <v>695.87762700743167</v>
      </c>
      <c r="BD21" s="165">
        <f t="shared" si="23"/>
        <v>41.699003343918783</v>
      </c>
      <c r="BE21" s="169">
        <f t="shared" si="24"/>
        <v>748.13690294819787</v>
      </c>
      <c r="BF21" s="172">
        <f t="shared" si="9"/>
        <v>675.4451153689115</v>
      </c>
    </row>
    <row r="22" spans="1:58" ht="63">
      <c r="A22" s="28" t="s">
        <v>35</v>
      </c>
      <c r="B22" s="20" t="s">
        <v>102</v>
      </c>
      <c r="C22" s="7">
        <v>61</v>
      </c>
      <c r="D22" s="20" t="s">
        <v>119</v>
      </c>
      <c r="E22" s="40">
        <v>5</v>
      </c>
      <c r="F22" s="41">
        <v>77.14</v>
      </c>
      <c r="G22" s="35">
        <v>6</v>
      </c>
      <c r="H22" s="35">
        <f t="shared" si="25"/>
        <v>4.6284000000000001</v>
      </c>
      <c r="I22" s="12"/>
      <c r="J22" s="35">
        <f t="shared" si="26"/>
        <v>0</v>
      </c>
      <c r="K22" s="12"/>
      <c r="L22" s="35">
        <f t="shared" si="27"/>
        <v>0</v>
      </c>
      <c r="M22" s="12"/>
      <c r="N22" s="12"/>
      <c r="O22" s="35">
        <f t="shared" si="28"/>
        <v>0</v>
      </c>
      <c r="P22" s="12"/>
      <c r="Q22" s="35"/>
      <c r="R22" s="35">
        <v>40</v>
      </c>
      <c r="S22" s="35">
        <f t="shared" si="29"/>
        <v>32.707360000000001</v>
      </c>
      <c r="T22" s="35">
        <v>30</v>
      </c>
      <c r="U22" s="35">
        <f t="shared" si="30"/>
        <v>34.342728000000001</v>
      </c>
      <c r="V22" s="35">
        <v>30</v>
      </c>
      <c r="W22" s="35">
        <f t="shared" si="6"/>
        <v>34.342728000000001</v>
      </c>
      <c r="X22" s="12">
        <f t="shared" si="31"/>
        <v>183.161216</v>
      </c>
      <c r="Y22" s="65">
        <f t="shared" si="10"/>
        <v>1.5228426395939085</v>
      </c>
      <c r="Z22" s="65">
        <f t="shared" si="11"/>
        <v>10.98967296</v>
      </c>
      <c r="AA22" s="65">
        <f t="shared" si="12"/>
        <v>12.821285120000001</v>
      </c>
      <c r="AB22" s="65">
        <f t="shared" si="13"/>
        <v>208.49501671959391</v>
      </c>
      <c r="AC22" s="12">
        <f t="shared" si="14"/>
        <v>62.965495049317354</v>
      </c>
      <c r="AD22" s="12">
        <f t="shared" si="15"/>
        <v>20.432511638520204</v>
      </c>
      <c r="AE22" s="65">
        <f t="shared" si="16"/>
        <v>10.560272596847431</v>
      </c>
      <c r="AF22" s="12" t="s">
        <v>27</v>
      </c>
      <c r="AG22" s="35">
        <v>32.83</v>
      </c>
      <c r="AH22" s="12">
        <v>7</v>
      </c>
      <c r="AI22" s="66">
        <f t="shared" si="17"/>
        <v>7</v>
      </c>
      <c r="AJ22" s="66"/>
      <c r="AK22" s="66">
        <f t="shared" si="18"/>
        <v>8.0499999999999989</v>
      </c>
      <c r="AL22" s="65">
        <f t="shared" si="19"/>
        <v>7.2625000000000002</v>
      </c>
      <c r="AM22" s="65">
        <f t="shared" si="20"/>
        <v>238.427875</v>
      </c>
      <c r="AN22" s="12" t="s">
        <v>73</v>
      </c>
      <c r="AO22" s="12">
        <v>52.25</v>
      </c>
      <c r="AP22" s="12">
        <v>4.5</v>
      </c>
      <c r="AQ22" s="65">
        <f t="shared" si="8"/>
        <v>17.075953125000002</v>
      </c>
      <c r="AR22" s="35">
        <v>50000</v>
      </c>
      <c r="AS22" s="35">
        <v>23</v>
      </c>
      <c r="AT22" s="10" t="s">
        <v>77</v>
      </c>
      <c r="AU22" s="10">
        <v>4422.03</v>
      </c>
      <c r="AV22" s="35">
        <v>2</v>
      </c>
      <c r="AW22" s="67">
        <f t="shared" si="21"/>
        <v>4.0682675999999995</v>
      </c>
      <c r="AX22" s="35">
        <v>48.62</v>
      </c>
      <c r="AY22" s="12">
        <v>17.510000000000002</v>
      </c>
      <c r="AZ22" s="12">
        <v>199.96</v>
      </c>
      <c r="BA22" s="12">
        <v>5.19</v>
      </c>
      <c r="BB22" s="12"/>
      <c r="BC22" s="169">
        <f t="shared" si="22"/>
        <v>822.74511913243157</v>
      </c>
      <c r="BD22" s="165">
        <f t="shared" si="23"/>
        <v>41.699003343918783</v>
      </c>
      <c r="BE22" s="169">
        <f t="shared" si="24"/>
        <v>875.00439507319777</v>
      </c>
      <c r="BF22" s="172">
        <f t="shared" si="9"/>
        <v>802.3126074939114</v>
      </c>
    </row>
    <row r="23" spans="1:58" ht="63">
      <c r="A23" s="28" t="s">
        <v>36</v>
      </c>
      <c r="B23" s="20" t="s">
        <v>103</v>
      </c>
      <c r="C23" s="7">
        <v>71</v>
      </c>
      <c r="D23" s="10" t="s">
        <v>120</v>
      </c>
      <c r="E23" s="40">
        <v>4</v>
      </c>
      <c r="F23" s="41">
        <v>56.44</v>
      </c>
      <c r="G23" s="35">
        <v>8</v>
      </c>
      <c r="H23" s="35">
        <f t="shared" si="25"/>
        <v>4.5152000000000001</v>
      </c>
      <c r="I23" s="35"/>
      <c r="J23" s="35">
        <f t="shared" si="26"/>
        <v>0</v>
      </c>
      <c r="K23" s="35">
        <v>0</v>
      </c>
      <c r="L23" s="35">
        <f t="shared" si="27"/>
        <v>0</v>
      </c>
      <c r="M23" s="35">
        <v>0</v>
      </c>
      <c r="N23" s="35">
        <v>0</v>
      </c>
      <c r="O23" s="35">
        <f t="shared" si="28"/>
        <v>0</v>
      </c>
      <c r="P23" s="35"/>
      <c r="Q23" s="35"/>
      <c r="R23" s="35">
        <v>40</v>
      </c>
      <c r="S23" s="35">
        <f t="shared" si="29"/>
        <v>24.382080000000002</v>
      </c>
      <c r="T23" s="35">
        <v>30</v>
      </c>
      <c r="U23" s="35">
        <f t="shared" si="30"/>
        <v>25.601184</v>
      </c>
      <c r="V23" s="35">
        <v>30</v>
      </c>
      <c r="W23" s="35">
        <f t="shared" si="6"/>
        <v>25.601184</v>
      </c>
      <c r="X23" s="12">
        <f t="shared" si="31"/>
        <v>136.539648</v>
      </c>
      <c r="Y23" s="65">
        <f t="shared" si="10"/>
        <v>1.5228426395939085</v>
      </c>
      <c r="Z23" s="65">
        <f t="shared" si="11"/>
        <v>8.1923788799999997</v>
      </c>
      <c r="AA23" s="65">
        <f t="shared" si="12"/>
        <v>9.5577753600000008</v>
      </c>
      <c r="AB23" s="65">
        <f t="shared" si="13"/>
        <v>155.8126448795939</v>
      </c>
      <c r="AC23" s="12">
        <f t="shared" si="14"/>
        <v>47.055418753637355</v>
      </c>
      <c r="AD23" s="12">
        <f t="shared" si="15"/>
        <v>15.269639198200203</v>
      </c>
      <c r="AE23" s="65">
        <f t="shared" si="16"/>
        <v>7.8919104631514303</v>
      </c>
      <c r="AF23" s="12" t="s">
        <v>27</v>
      </c>
      <c r="AG23" s="35">
        <v>32.83</v>
      </c>
      <c r="AH23" s="35">
        <v>6.5</v>
      </c>
      <c r="AI23" s="66">
        <f t="shared" si="17"/>
        <v>6.5</v>
      </c>
      <c r="AJ23" s="66"/>
      <c r="AK23" s="66">
        <f t="shared" si="18"/>
        <v>7.4749999999999996</v>
      </c>
      <c r="AL23" s="65">
        <f t="shared" si="19"/>
        <v>6.7437499999999995</v>
      </c>
      <c r="AM23" s="65">
        <f t="shared" si="20"/>
        <v>221.39731249999997</v>
      </c>
      <c r="AN23" s="12" t="s">
        <v>73</v>
      </c>
      <c r="AO23" s="12">
        <v>52.25</v>
      </c>
      <c r="AP23" s="12">
        <v>4.5</v>
      </c>
      <c r="AQ23" s="65">
        <f t="shared" si="8"/>
        <v>15.856242187499998</v>
      </c>
      <c r="AR23" s="35">
        <v>50000</v>
      </c>
      <c r="AS23" s="35">
        <v>23</v>
      </c>
      <c r="AT23" s="10" t="s">
        <v>77</v>
      </c>
      <c r="AU23" s="10">
        <v>4422.03</v>
      </c>
      <c r="AV23" s="35">
        <v>2</v>
      </c>
      <c r="AW23" s="67">
        <f t="shared" si="21"/>
        <v>4.0682675999999995</v>
      </c>
      <c r="AX23" s="35">
        <v>48.62</v>
      </c>
      <c r="AY23" s="12">
        <v>17.510000000000002</v>
      </c>
      <c r="AZ23" s="12"/>
      <c r="BA23" s="12">
        <v>5.19</v>
      </c>
      <c r="BB23" s="12"/>
      <c r="BC23" s="169">
        <f t="shared" si="22"/>
        <v>530.77952511893147</v>
      </c>
      <c r="BD23" s="165">
        <f t="shared" si="23"/>
        <v>31.162528975918782</v>
      </c>
      <c r="BE23" s="169">
        <f t="shared" si="24"/>
        <v>569.83396455800175</v>
      </c>
      <c r="BF23" s="172">
        <f t="shared" si="9"/>
        <v>515.50988592073122</v>
      </c>
    </row>
    <row r="24" spans="1:58" ht="78.75">
      <c r="A24" s="28" t="s">
        <v>37</v>
      </c>
      <c r="B24" s="20" t="s">
        <v>104</v>
      </c>
      <c r="C24" s="7">
        <v>91</v>
      </c>
      <c r="D24" s="20" t="s">
        <v>119</v>
      </c>
      <c r="E24" s="40">
        <v>5</v>
      </c>
      <c r="F24" s="41">
        <v>77.14</v>
      </c>
      <c r="G24" s="35">
        <v>6</v>
      </c>
      <c r="H24" s="35">
        <f t="shared" si="25"/>
        <v>4.6284000000000001</v>
      </c>
      <c r="I24" s="35"/>
      <c r="J24" s="35">
        <f t="shared" si="26"/>
        <v>0</v>
      </c>
      <c r="K24" s="35">
        <v>0</v>
      </c>
      <c r="L24" s="35">
        <f t="shared" si="27"/>
        <v>0</v>
      </c>
      <c r="M24" s="35">
        <v>0</v>
      </c>
      <c r="N24" s="35">
        <v>0</v>
      </c>
      <c r="O24" s="35">
        <f t="shared" si="28"/>
        <v>0</v>
      </c>
      <c r="P24" s="35"/>
      <c r="Q24" s="35"/>
      <c r="R24" s="35">
        <v>40</v>
      </c>
      <c r="S24" s="35">
        <f t="shared" si="29"/>
        <v>32.707360000000001</v>
      </c>
      <c r="T24" s="35">
        <v>30</v>
      </c>
      <c r="U24" s="35">
        <f t="shared" si="30"/>
        <v>34.342728000000001</v>
      </c>
      <c r="V24" s="35">
        <v>30</v>
      </c>
      <c r="W24" s="35">
        <f t="shared" si="6"/>
        <v>34.342728000000001</v>
      </c>
      <c r="X24" s="12">
        <f t="shared" si="31"/>
        <v>183.161216</v>
      </c>
      <c r="Y24" s="65">
        <f t="shared" si="10"/>
        <v>1.5228426395939085</v>
      </c>
      <c r="Z24" s="65">
        <f t="shared" si="11"/>
        <v>10.98967296</v>
      </c>
      <c r="AA24" s="65">
        <f t="shared" si="12"/>
        <v>12.821285120000001</v>
      </c>
      <c r="AB24" s="65">
        <f t="shared" si="13"/>
        <v>208.49501671959391</v>
      </c>
      <c r="AC24" s="12">
        <f t="shared" si="14"/>
        <v>62.965495049317354</v>
      </c>
      <c r="AD24" s="12">
        <f t="shared" si="15"/>
        <v>20.432511638520204</v>
      </c>
      <c r="AE24" s="65">
        <f t="shared" si="16"/>
        <v>10.560272596847431</v>
      </c>
      <c r="AF24" s="12" t="s">
        <v>27</v>
      </c>
      <c r="AG24" s="35">
        <v>32.83</v>
      </c>
      <c r="AH24" s="35">
        <v>4.0999999999999996</v>
      </c>
      <c r="AI24" s="66">
        <f t="shared" si="17"/>
        <v>4.0999999999999996</v>
      </c>
      <c r="AJ24" s="66"/>
      <c r="AK24" s="66">
        <f t="shared" si="18"/>
        <v>4.714999999999999</v>
      </c>
      <c r="AL24" s="65">
        <f t="shared" si="19"/>
        <v>4.2537499999999993</v>
      </c>
      <c r="AM24" s="65">
        <f t="shared" si="20"/>
        <v>139.65061249999997</v>
      </c>
      <c r="AN24" s="12" t="s">
        <v>73</v>
      </c>
      <c r="AO24" s="12">
        <v>52.25</v>
      </c>
      <c r="AP24" s="12">
        <v>4.5</v>
      </c>
      <c r="AQ24" s="65">
        <f t="shared" si="8"/>
        <v>10.001629687499998</v>
      </c>
      <c r="AR24" s="35">
        <v>50000</v>
      </c>
      <c r="AS24" s="35">
        <v>23</v>
      </c>
      <c r="AT24" s="10" t="s">
        <v>77</v>
      </c>
      <c r="AU24" s="10">
        <v>4422.03</v>
      </c>
      <c r="AV24" s="35">
        <v>2</v>
      </c>
      <c r="AW24" s="67">
        <f t="shared" si="21"/>
        <v>4.0682675999999995</v>
      </c>
      <c r="AX24" s="35">
        <v>48.62</v>
      </c>
      <c r="AY24" s="12">
        <v>17.510000000000002</v>
      </c>
      <c r="AZ24" s="12"/>
      <c r="BA24" s="12">
        <v>5.19</v>
      </c>
      <c r="BB24" s="12"/>
      <c r="BC24" s="169">
        <f t="shared" si="22"/>
        <v>516.93353319493144</v>
      </c>
      <c r="BD24" s="165">
        <f t="shared" si="23"/>
        <v>41.699003343918783</v>
      </c>
      <c r="BE24" s="169">
        <f t="shared" si="24"/>
        <v>569.19280913569764</v>
      </c>
      <c r="BF24" s="172">
        <f t="shared" si="9"/>
        <v>496.50102155641122</v>
      </c>
    </row>
    <row r="25" spans="1:58" ht="78.75">
      <c r="A25" s="28" t="s">
        <v>38</v>
      </c>
      <c r="B25" s="20" t="s">
        <v>105</v>
      </c>
      <c r="C25" s="7">
        <v>92</v>
      </c>
      <c r="D25" s="20" t="s">
        <v>119</v>
      </c>
      <c r="E25" s="40">
        <v>5</v>
      </c>
      <c r="F25" s="41">
        <v>77.14</v>
      </c>
      <c r="G25" s="35">
        <v>6</v>
      </c>
      <c r="H25" s="35">
        <f t="shared" si="25"/>
        <v>4.6284000000000001</v>
      </c>
      <c r="I25" s="35"/>
      <c r="J25" s="35">
        <f t="shared" si="26"/>
        <v>0</v>
      </c>
      <c r="K25" s="35">
        <v>0</v>
      </c>
      <c r="L25" s="35">
        <f t="shared" si="27"/>
        <v>0</v>
      </c>
      <c r="M25" s="35">
        <v>0</v>
      </c>
      <c r="N25" s="35">
        <v>0</v>
      </c>
      <c r="O25" s="35">
        <f t="shared" si="28"/>
        <v>0</v>
      </c>
      <c r="P25" s="35"/>
      <c r="Q25" s="35"/>
      <c r="R25" s="35">
        <v>40</v>
      </c>
      <c r="S25" s="35">
        <f t="shared" si="29"/>
        <v>32.707360000000001</v>
      </c>
      <c r="T25" s="35">
        <v>30</v>
      </c>
      <c r="U25" s="35">
        <f t="shared" si="30"/>
        <v>34.342728000000001</v>
      </c>
      <c r="V25" s="35">
        <v>30</v>
      </c>
      <c r="W25" s="35">
        <f t="shared" si="6"/>
        <v>34.342728000000001</v>
      </c>
      <c r="X25" s="12">
        <f t="shared" si="31"/>
        <v>183.161216</v>
      </c>
      <c r="Y25" s="65">
        <f t="shared" si="10"/>
        <v>1.5228426395939085</v>
      </c>
      <c r="Z25" s="65">
        <f t="shared" si="11"/>
        <v>10.98967296</v>
      </c>
      <c r="AA25" s="65">
        <f t="shared" si="12"/>
        <v>12.821285120000001</v>
      </c>
      <c r="AB25" s="65">
        <f t="shared" si="13"/>
        <v>208.49501671959391</v>
      </c>
      <c r="AC25" s="12">
        <f t="shared" si="14"/>
        <v>62.965495049317354</v>
      </c>
      <c r="AD25" s="12">
        <f t="shared" si="15"/>
        <v>20.432511638520204</v>
      </c>
      <c r="AE25" s="65">
        <f t="shared" si="16"/>
        <v>10.560272596847431</v>
      </c>
      <c r="AF25" s="12" t="s">
        <v>27</v>
      </c>
      <c r="AG25" s="35">
        <v>32.83</v>
      </c>
      <c r="AH25" s="35">
        <v>4.0999999999999996</v>
      </c>
      <c r="AI25" s="66">
        <f t="shared" si="17"/>
        <v>4.0999999999999996</v>
      </c>
      <c r="AJ25" s="66"/>
      <c r="AK25" s="66">
        <f t="shared" si="18"/>
        <v>4.714999999999999</v>
      </c>
      <c r="AL25" s="65">
        <f t="shared" si="19"/>
        <v>4.2537499999999993</v>
      </c>
      <c r="AM25" s="65">
        <f t="shared" si="20"/>
        <v>139.65061249999997</v>
      </c>
      <c r="AN25" s="12" t="s">
        <v>73</v>
      </c>
      <c r="AO25" s="12">
        <v>52.25</v>
      </c>
      <c r="AP25" s="12">
        <v>4.5</v>
      </c>
      <c r="AQ25" s="65">
        <f t="shared" si="8"/>
        <v>10.001629687499998</v>
      </c>
      <c r="AR25" s="35">
        <v>50000</v>
      </c>
      <c r="AS25" s="35">
        <v>23</v>
      </c>
      <c r="AT25" s="10" t="s">
        <v>77</v>
      </c>
      <c r="AU25" s="10">
        <v>4422.03</v>
      </c>
      <c r="AV25" s="35">
        <v>2</v>
      </c>
      <c r="AW25" s="67">
        <f t="shared" si="21"/>
        <v>4.0682675999999995</v>
      </c>
      <c r="AX25" s="35">
        <v>48.62</v>
      </c>
      <c r="AY25" s="12">
        <v>17.510000000000002</v>
      </c>
      <c r="AZ25" s="12"/>
      <c r="BA25" s="12">
        <v>5.19</v>
      </c>
      <c r="BB25" s="12"/>
      <c r="BC25" s="169">
        <f t="shared" si="22"/>
        <v>516.93353319493144</v>
      </c>
      <c r="BD25" s="165">
        <f t="shared" si="23"/>
        <v>41.699003343918783</v>
      </c>
      <c r="BE25" s="169">
        <f t="shared" si="24"/>
        <v>569.19280913569764</v>
      </c>
      <c r="BF25" s="172">
        <f t="shared" si="9"/>
        <v>496.50102155641122</v>
      </c>
    </row>
    <row r="26" spans="1:58" ht="63">
      <c r="A26" s="28" t="s">
        <v>39</v>
      </c>
      <c r="B26" s="20" t="s">
        <v>106</v>
      </c>
      <c r="C26" s="7">
        <v>141</v>
      </c>
      <c r="D26" s="10" t="s">
        <v>121</v>
      </c>
      <c r="E26" s="40">
        <v>5</v>
      </c>
      <c r="F26" s="35">
        <v>77.14</v>
      </c>
      <c r="G26" s="12">
        <v>12</v>
      </c>
      <c r="H26" s="35">
        <f t="shared" si="25"/>
        <v>9.2568000000000001</v>
      </c>
      <c r="I26" s="12"/>
      <c r="J26" s="35">
        <f t="shared" si="26"/>
        <v>0</v>
      </c>
      <c r="K26" s="12"/>
      <c r="L26" s="35">
        <f t="shared" si="27"/>
        <v>0</v>
      </c>
      <c r="M26" s="12"/>
      <c r="N26" s="12">
        <v>0</v>
      </c>
      <c r="O26" s="35">
        <f t="shared" si="28"/>
        <v>0</v>
      </c>
      <c r="P26" s="12"/>
      <c r="Q26" s="12"/>
      <c r="R26" s="35">
        <v>40</v>
      </c>
      <c r="S26" s="35">
        <f t="shared" si="29"/>
        <v>34.558720000000001</v>
      </c>
      <c r="T26" s="35">
        <v>30</v>
      </c>
      <c r="U26" s="35">
        <f t="shared" si="30"/>
        <v>36.286656000000001</v>
      </c>
      <c r="V26" s="35">
        <v>30</v>
      </c>
      <c r="W26" s="35">
        <f t="shared" si="6"/>
        <v>36.286656000000001</v>
      </c>
      <c r="X26" s="12">
        <f t="shared" si="31"/>
        <v>193.52883199999999</v>
      </c>
      <c r="Y26" s="65">
        <f t="shared" si="10"/>
        <v>1.5228426395939085</v>
      </c>
      <c r="Z26" s="65">
        <f t="shared" si="11"/>
        <v>11.611729919999998</v>
      </c>
      <c r="AA26" s="65">
        <f t="shared" si="12"/>
        <v>13.547018240000002</v>
      </c>
      <c r="AB26" s="65">
        <f t="shared" si="13"/>
        <v>220.21042279959389</v>
      </c>
      <c r="AC26" s="12">
        <f t="shared" si="14"/>
        <v>66.503547685477358</v>
      </c>
      <c r="AD26" s="12">
        <f t="shared" si="15"/>
        <v>21.5806214343602</v>
      </c>
      <c r="AE26" s="65">
        <f t="shared" si="16"/>
        <v>11.15365791479943</v>
      </c>
      <c r="AF26" s="12" t="s">
        <v>27</v>
      </c>
      <c r="AG26" s="35">
        <v>32.83</v>
      </c>
      <c r="AH26" s="35">
        <v>5.3</v>
      </c>
      <c r="AI26" s="66">
        <f t="shared" si="17"/>
        <v>5.3</v>
      </c>
      <c r="AJ26" s="70"/>
      <c r="AK26" s="66">
        <f t="shared" si="18"/>
        <v>6.0949999999999998</v>
      </c>
      <c r="AL26" s="65">
        <f t="shared" si="19"/>
        <v>5.4987500000000002</v>
      </c>
      <c r="AM26" s="65">
        <f t="shared" si="20"/>
        <v>180.52396250000001</v>
      </c>
      <c r="AN26" s="12" t="s">
        <v>73</v>
      </c>
      <c r="AO26" s="12">
        <v>52.25</v>
      </c>
      <c r="AP26" s="12">
        <v>4.5</v>
      </c>
      <c r="AQ26" s="65">
        <f t="shared" si="8"/>
        <v>12.9289359375</v>
      </c>
      <c r="AR26" s="35">
        <v>50000</v>
      </c>
      <c r="AS26" s="35">
        <v>23</v>
      </c>
      <c r="AT26" s="10" t="s">
        <v>77</v>
      </c>
      <c r="AU26" s="10">
        <v>4422.03</v>
      </c>
      <c r="AV26" s="35">
        <v>2</v>
      </c>
      <c r="AW26" s="67">
        <f t="shared" si="21"/>
        <v>4.0682675999999995</v>
      </c>
      <c r="AX26" s="35">
        <v>48.62</v>
      </c>
      <c r="AY26" s="12">
        <v>17.510000000000002</v>
      </c>
      <c r="AZ26" s="12">
        <v>13.01</v>
      </c>
      <c r="BA26" s="12">
        <v>5.19</v>
      </c>
      <c r="BB26" s="12"/>
      <c r="BC26" s="169">
        <f t="shared" si="22"/>
        <v>590.14575795693145</v>
      </c>
      <c r="BD26" s="165">
        <f t="shared" si="23"/>
        <v>44.042084559918777</v>
      </c>
      <c r="BE26" s="169">
        <f t="shared" si="24"/>
        <v>645.34150043164959</v>
      </c>
      <c r="BF26" s="172">
        <f t="shared" si="9"/>
        <v>568.56513652257127</v>
      </c>
    </row>
    <row r="27" spans="1:58" ht="63">
      <c r="A27" s="28" t="s">
        <v>40</v>
      </c>
      <c r="B27" s="20" t="s">
        <v>107</v>
      </c>
      <c r="C27" s="7">
        <v>142</v>
      </c>
      <c r="D27" s="10" t="s">
        <v>121</v>
      </c>
      <c r="E27" s="40">
        <v>5</v>
      </c>
      <c r="F27" s="35">
        <v>77.14</v>
      </c>
      <c r="G27" s="12">
        <v>12</v>
      </c>
      <c r="H27" s="35">
        <f t="shared" ref="H27:H34" si="32">F27*G27/100</f>
        <v>9.2568000000000001</v>
      </c>
      <c r="I27" s="12"/>
      <c r="J27" s="35">
        <f t="shared" ref="J27:J34" si="33">F27*I27/100</f>
        <v>0</v>
      </c>
      <c r="K27" s="12"/>
      <c r="L27" s="35">
        <f t="shared" ref="L27:L34" si="34">F27*K27/100</f>
        <v>0</v>
      </c>
      <c r="M27" s="12"/>
      <c r="N27" s="12">
        <v>0</v>
      </c>
      <c r="O27" s="35">
        <f t="shared" ref="O27:O34" si="35">F27*N27/100</f>
        <v>0</v>
      </c>
      <c r="P27" s="12"/>
      <c r="Q27" s="12"/>
      <c r="R27" s="35">
        <v>40</v>
      </c>
      <c r="S27" s="35">
        <f t="shared" ref="S27:S34" si="36">(F27+H27+J27+L27+M27+O27+Q27)*R27/100</f>
        <v>34.558720000000001</v>
      </c>
      <c r="T27" s="35">
        <v>30</v>
      </c>
      <c r="U27" s="35">
        <f t="shared" ref="U27:U34" si="37">(F27+H27+J27+L27+M27+O27+Q27+S27)*30/100</f>
        <v>36.286656000000001</v>
      </c>
      <c r="V27" s="35">
        <v>30</v>
      </c>
      <c r="W27" s="35">
        <f t="shared" ref="W27:W34" si="38">U27</f>
        <v>36.286656000000001</v>
      </c>
      <c r="X27" s="12">
        <f t="shared" ref="X27:X34" si="39">F27+H27+J27+L27+M27+O27+Q27+S27+U27+W27</f>
        <v>193.52883199999999</v>
      </c>
      <c r="Y27" s="65">
        <f t="shared" si="10"/>
        <v>1.5228426395939085</v>
      </c>
      <c r="Z27" s="65">
        <f t="shared" si="11"/>
        <v>11.611729919999998</v>
      </c>
      <c r="AA27" s="65">
        <f t="shared" si="12"/>
        <v>13.547018240000002</v>
      </c>
      <c r="AB27" s="65">
        <f t="shared" si="13"/>
        <v>220.21042279959389</v>
      </c>
      <c r="AC27" s="12">
        <f t="shared" si="14"/>
        <v>66.503547685477358</v>
      </c>
      <c r="AD27" s="12">
        <f t="shared" si="15"/>
        <v>21.5806214343602</v>
      </c>
      <c r="AE27" s="65">
        <f t="shared" si="16"/>
        <v>11.15365791479943</v>
      </c>
      <c r="AF27" s="12" t="s">
        <v>27</v>
      </c>
      <c r="AG27" s="35">
        <v>32.83</v>
      </c>
      <c r="AH27" s="35">
        <v>5.3</v>
      </c>
      <c r="AI27" s="66">
        <f t="shared" si="17"/>
        <v>5.3</v>
      </c>
      <c r="AJ27" s="66"/>
      <c r="AK27" s="66">
        <f t="shared" si="18"/>
        <v>6.0949999999999998</v>
      </c>
      <c r="AL27" s="65">
        <f t="shared" si="19"/>
        <v>5.4987500000000002</v>
      </c>
      <c r="AM27" s="65">
        <f t="shared" si="20"/>
        <v>180.52396250000001</v>
      </c>
      <c r="AN27" s="12" t="s">
        <v>73</v>
      </c>
      <c r="AO27" s="12">
        <v>52.25</v>
      </c>
      <c r="AP27" s="12">
        <v>4.5</v>
      </c>
      <c r="AQ27" s="65">
        <f t="shared" si="8"/>
        <v>12.9289359375</v>
      </c>
      <c r="AR27" s="35">
        <v>50000</v>
      </c>
      <c r="AS27" s="35">
        <v>23</v>
      </c>
      <c r="AT27" s="10" t="s">
        <v>77</v>
      </c>
      <c r="AU27" s="10">
        <v>4422.03</v>
      </c>
      <c r="AV27" s="35">
        <v>2</v>
      </c>
      <c r="AW27" s="67">
        <f t="shared" si="21"/>
        <v>4.0682675999999995</v>
      </c>
      <c r="AX27" s="35">
        <v>48.62</v>
      </c>
      <c r="AY27" s="12">
        <v>17.510000000000002</v>
      </c>
      <c r="AZ27" s="12">
        <v>16.2</v>
      </c>
      <c r="BA27" s="12">
        <v>5.19</v>
      </c>
      <c r="BB27" s="12"/>
      <c r="BC27" s="169">
        <f t="shared" si="22"/>
        <v>593.3357579569315</v>
      </c>
      <c r="BD27" s="165">
        <f t="shared" si="23"/>
        <v>44.042084559918777</v>
      </c>
      <c r="BE27" s="169">
        <f t="shared" si="24"/>
        <v>648.53150043164965</v>
      </c>
      <c r="BF27" s="172">
        <f t="shared" si="9"/>
        <v>571.75513652257132</v>
      </c>
    </row>
    <row r="28" spans="1:58" ht="63">
      <c r="A28" s="28" t="s">
        <v>41</v>
      </c>
      <c r="B28" s="20" t="s">
        <v>108</v>
      </c>
      <c r="C28" s="7">
        <v>143</v>
      </c>
      <c r="D28" s="10" t="s">
        <v>121</v>
      </c>
      <c r="E28" s="40">
        <v>5</v>
      </c>
      <c r="F28" s="35">
        <v>77.14</v>
      </c>
      <c r="G28" s="12">
        <v>12</v>
      </c>
      <c r="H28" s="35">
        <f t="shared" si="32"/>
        <v>9.2568000000000001</v>
      </c>
      <c r="I28" s="12"/>
      <c r="J28" s="35">
        <f t="shared" si="33"/>
        <v>0</v>
      </c>
      <c r="K28" s="12"/>
      <c r="L28" s="35">
        <f t="shared" si="34"/>
        <v>0</v>
      </c>
      <c r="M28" s="12"/>
      <c r="N28" s="12">
        <v>0</v>
      </c>
      <c r="O28" s="35">
        <f t="shared" si="35"/>
        <v>0</v>
      </c>
      <c r="P28" s="12"/>
      <c r="Q28" s="12"/>
      <c r="R28" s="35">
        <v>40</v>
      </c>
      <c r="S28" s="35">
        <f t="shared" si="36"/>
        <v>34.558720000000001</v>
      </c>
      <c r="T28" s="35">
        <v>30</v>
      </c>
      <c r="U28" s="35">
        <f t="shared" si="37"/>
        <v>36.286656000000001</v>
      </c>
      <c r="V28" s="35">
        <v>30</v>
      </c>
      <c r="W28" s="35">
        <f t="shared" si="38"/>
        <v>36.286656000000001</v>
      </c>
      <c r="X28" s="12">
        <f t="shared" si="39"/>
        <v>193.52883199999999</v>
      </c>
      <c r="Y28" s="65">
        <f t="shared" si="10"/>
        <v>1.5228426395939085</v>
      </c>
      <c r="Z28" s="65">
        <f t="shared" si="11"/>
        <v>11.611729919999998</v>
      </c>
      <c r="AA28" s="65">
        <f t="shared" si="12"/>
        <v>13.547018240000002</v>
      </c>
      <c r="AB28" s="65">
        <f t="shared" si="13"/>
        <v>220.21042279959389</v>
      </c>
      <c r="AC28" s="12">
        <f t="shared" si="14"/>
        <v>66.503547685477358</v>
      </c>
      <c r="AD28" s="12">
        <f t="shared" si="15"/>
        <v>21.5806214343602</v>
      </c>
      <c r="AE28" s="65">
        <f t="shared" si="16"/>
        <v>11.15365791479943</v>
      </c>
      <c r="AF28" s="12" t="s">
        <v>27</v>
      </c>
      <c r="AG28" s="35">
        <v>32.83</v>
      </c>
      <c r="AH28" s="35">
        <v>5.3</v>
      </c>
      <c r="AI28" s="66">
        <f t="shared" si="17"/>
        <v>5.3</v>
      </c>
      <c r="AJ28" s="70"/>
      <c r="AK28" s="66">
        <f t="shared" si="18"/>
        <v>6.0949999999999998</v>
      </c>
      <c r="AL28" s="65">
        <f t="shared" si="19"/>
        <v>5.4987500000000002</v>
      </c>
      <c r="AM28" s="65">
        <f t="shared" si="20"/>
        <v>180.52396250000001</v>
      </c>
      <c r="AN28" s="12" t="s">
        <v>73</v>
      </c>
      <c r="AO28" s="12">
        <v>52.25</v>
      </c>
      <c r="AP28" s="12">
        <v>4.5</v>
      </c>
      <c r="AQ28" s="65">
        <f t="shared" si="8"/>
        <v>12.9289359375</v>
      </c>
      <c r="AR28" s="35">
        <v>50000</v>
      </c>
      <c r="AS28" s="35">
        <v>23</v>
      </c>
      <c r="AT28" s="10" t="s">
        <v>77</v>
      </c>
      <c r="AU28" s="10">
        <v>4422.03</v>
      </c>
      <c r="AV28" s="35">
        <v>2</v>
      </c>
      <c r="AW28" s="67">
        <f t="shared" si="21"/>
        <v>4.0682675999999995</v>
      </c>
      <c r="AX28" s="35">
        <v>48.62</v>
      </c>
      <c r="AY28" s="12">
        <v>17.510000000000002</v>
      </c>
      <c r="AZ28" s="12">
        <v>11.24</v>
      </c>
      <c r="BA28" s="12">
        <v>5.19</v>
      </c>
      <c r="BB28" s="12"/>
      <c r="BC28" s="169">
        <f t="shared" si="22"/>
        <v>588.37575795693147</v>
      </c>
      <c r="BD28" s="165">
        <f t="shared" si="23"/>
        <v>44.042084559918777</v>
      </c>
      <c r="BE28" s="169">
        <f t="shared" si="24"/>
        <v>643.57150043164961</v>
      </c>
      <c r="BF28" s="172">
        <f t="shared" si="9"/>
        <v>566.79513652257128</v>
      </c>
    </row>
    <row r="29" spans="1:58" ht="63">
      <c r="A29" s="28" t="s">
        <v>42</v>
      </c>
      <c r="B29" s="20" t="s">
        <v>109</v>
      </c>
      <c r="C29" s="7">
        <v>144</v>
      </c>
      <c r="D29" s="10" t="s">
        <v>121</v>
      </c>
      <c r="E29" s="40">
        <v>5</v>
      </c>
      <c r="F29" s="35">
        <v>77.14</v>
      </c>
      <c r="G29" s="12">
        <v>12</v>
      </c>
      <c r="H29" s="35">
        <f t="shared" si="32"/>
        <v>9.2568000000000001</v>
      </c>
      <c r="I29" s="12"/>
      <c r="J29" s="35">
        <f t="shared" si="33"/>
        <v>0</v>
      </c>
      <c r="K29" s="12"/>
      <c r="L29" s="35">
        <f t="shared" si="34"/>
        <v>0</v>
      </c>
      <c r="M29" s="12"/>
      <c r="N29" s="12">
        <v>0</v>
      </c>
      <c r="O29" s="35">
        <f t="shared" si="35"/>
        <v>0</v>
      </c>
      <c r="P29" s="12"/>
      <c r="Q29" s="12"/>
      <c r="R29" s="35">
        <v>40</v>
      </c>
      <c r="S29" s="35">
        <f t="shared" si="36"/>
        <v>34.558720000000001</v>
      </c>
      <c r="T29" s="35">
        <v>30</v>
      </c>
      <c r="U29" s="35">
        <f t="shared" si="37"/>
        <v>36.286656000000001</v>
      </c>
      <c r="V29" s="35">
        <v>30</v>
      </c>
      <c r="W29" s="35">
        <f t="shared" si="38"/>
        <v>36.286656000000001</v>
      </c>
      <c r="X29" s="12">
        <f t="shared" si="39"/>
        <v>193.52883199999999</v>
      </c>
      <c r="Y29" s="65">
        <f t="shared" si="10"/>
        <v>1.5228426395939085</v>
      </c>
      <c r="Z29" s="65">
        <f t="shared" si="11"/>
        <v>11.611729919999998</v>
      </c>
      <c r="AA29" s="65">
        <f t="shared" si="12"/>
        <v>13.547018240000002</v>
      </c>
      <c r="AB29" s="65">
        <f t="shared" si="13"/>
        <v>220.21042279959389</v>
      </c>
      <c r="AC29" s="12">
        <f t="shared" si="14"/>
        <v>66.503547685477358</v>
      </c>
      <c r="AD29" s="12">
        <f t="shared" si="15"/>
        <v>21.5806214343602</v>
      </c>
      <c r="AE29" s="65">
        <f t="shared" si="16"/>
        <v>11.15365791479943</v>
      </c>
      <c r="AF29" s="12" t="s">
        <v>27</v>
      </c>
      <c r="AG29" s="35">
        <v>32.83</v>
      </c>
      <c r="AH29" s="35">
        <v>5.3</v>
      </c>
      <c r="AI29" s="66">
        <f t="shared" si="17"/>
        <v>5.3</v>
      </c>
      <c r="AJ29" s="70"/>
      <c r="AK29" s="66">
        <f t="shared" si="18"/>
        <v>6.0949999999999998</v>
      </c>
      <c r="AL29" s="65">
        <f t="shared" si="19"/>
        <v>5.4987500000000002</v>
      </c>
      <c r="AM29" s="65">
        <f t="shared" si="20"/>
        <v>180.52396250000001</v>
      </c>
      <c r="AN29" s="12" t="s">
        <v>73</v>
      </c>
      <c r="AO29" s="12">
        <v>52.25</v>
      </c>
      <c r="AP29" s="12">
        <v>4.5</v>
      </c>
      <c r="AQ29" s="65">
        <f t="shared" si="8"/>
        <v>12.9289359375</v>
      </c>
      <c r="AR29" s="35">
        <v>50000</v>
      </c>
      <c r="AS29" s="35">
        <v>23</v>
      </c>
      <c r="AT29" s="10" t="s">
        <v>77</v>
      </c>
      <c r="AU29" s="10">
        <v>4422.03</v>
      </c>
      <c r="AV29" s="35">
        <v>2</v>
      </c>
      <c r="AW29" s="67">
        <f t="shared" si="21"/>
        <v>4.0682675999999995</v>
      </c>
      <c r="AX29" s="35">
        <v>48.62</v>
      </c>
      <c r="AY29" s="12">
        <v>17.510000000000002</v>
      </c>
      <c r="AZ29" s="12"/>
      <c r="BA29" s="12">
        <v>5.19</v>
      </c>
      <c r="BB29" s="12"/>
      <c r="BC29" s="169">
        <f t="shared" si="22"/>
        <v>577.13575795693146</v>
      </c>
      <c r="BD29" s="165">
        <f t="shared" si="23"/>
        <v>44.042084559918777</v>
      </c>
      <c r="BE29" s="169">
        <f t="shared" si="24"/>
        <v>632.3315004316496</v>
      </c>
      <c r="BF29" s="172">
        <f t="shared" si="9"/>
        <v>555.55513652257127</v>
      </c>
    </row>
    <row r="30" spans="1:58" ht="63">
      <c r="A30" s="28" t="s">
        <v>43</v>
      </c>
      <c r="B30" s="20" t="s">
        <v>110</v>
      </c>
      <c r="C30" s="7">
        <v>145</v>
      </c>
      <c r="D30" s="10" t="s">
        <v>121</v>
      </c>
      <c r="E30" s="40">
        <v>5</v>
      </c>
      <c r="F30" s="35">
        <v>77.14</v>
      </c>
      <c r="G30" s="12">
        <v>12</v>
      </c>
      <c r="H30" s="35">
        <f t="shared" si="32"/>
        <v>9.2568000000000001</v>
      </c>
      <c r="I30" s="12"/>
      <c r="J30" s="35">
        <f t="shared" si="33"/>
        <v>0</v>
      </c>
      <c r="K30" s="12"/>
      <c r="L30" s="35">
        <f t="shared" si="34"/>
        <v>0</v>
      </c>
      <c r="M30" s="12"/>
      <c r="N30" s="12">
        <v>0</v>
      </c>
      <c r="O30" s="35">
        <f t="shared" si="35"/>
        <v>0</v>
      </c>
      <c r="P30" s="12"/>
      <c r="Q30" s="12"/>
      <c r="R30" s="35">
        <v>40</v>
      </c>
      <c r="S30" s="35">
        <f t="shared" si="36"/>
        <v>34.558720000000001</v>
      </c>
      <c r="T30" s="35">
        <v>30</v>
      </c>
      <c r="U30" s="35">
        <f t="shared" si="37"/>
        <v>36.286656000000001</v>
      </c>
      <c r="V30" s="35">
        <v>30</v>
      </c>
      <c r="W30" s="35">
        <f t="shared" si="38"/>
        <v>36.286656000000001</v>
      </c>
      <c r="X30" s="12">
        <f t="shared" si="39"/>
        <v>193.52883199999999</v>
      </c>
      <c r="Y30" s="65">
        <f t="shared" si="10"/>
        <v>1.5228426395939085</v>
      </c>
      <c r="Z30" s="65">
        <f t="shared" si="11"/>
        <v>11.611729919999998</v>
      </c>
      <c r="AA30" s="65">
        <f t="shared" si="12"/>
        <v>13.547018240000002</v>
      </c>
      <c r="AB30" s="65">
        <f t="shared" si="13"/>
        <v>220.21042279959389</v>
      </c>
      <c r="AC30" s="12">
        <f t="shared" si="14"/>
        <v>66.503547685477358</v>
      </c>
      <c r="AD30" s="12">
        <f t="shared" si="15"/>
        <v>21.5806214343602</v>
      </c>
      <c r="AE30" s="65">
        <f t="shared" si="16"/>
        <v>11.15365791479943</v>
      </c>
      <c r="AF30" s="12" t="s">
        <v>27</v>
      </c>
      <c r="AG30" s="35">
        <v>32.83</v>
      </c>
      <c r="AH30" s="35">
        <v>5.3</v>
      </c>
      <c r="AI30" s="66">
        <f t="shared" si="17"/>
        <v>5.3</v>
      </c>
      <c r="AJ30" s="66"/>
      <c r="AK30" s="66">
        <f t="shared" si="18"/>
        <v>6.0949999999999998</v>
      </c>
      <c r="AL30" s="65">
        <f t="shared" si="19"/>
        <v>5.4987500000000002</v>
      </c>
      <c r="AM30" s="65">
        <f t="shared" si="20"/>
        <v>180.52396250000001</v>
      </c>
      <c r="AN30" s="12" t="s">
        <v>73</v>
      </c>
      <c r="AO30" s="12">
        <v>52.25</v>
      </c>
      <c r="AP30" s="12">
        <v>4.5</v>
      </c>
      <c r="AQ30" s="65">
        <f t="shared" si="8"/>
        <v>12.9289359375</v>
      </c>
      <c r="AR30" s="35">
        <v>50000</v>
      </c>
      <c r="AS30" s="35">
        <v>23</v>
      </c>
      <c r="AT30" s="10" t="s">
        <v>77</v>
      </c>
      <c r="AU30" s="10">
        <v>4422.03</v>
      </c>
      <c r="AV30" s="35">
        <v>2</v>
      </c>
      <c r="AW30" s="67">
        <f t="shared" si="21"/>
        <v>4.0682675999999995</v>
      </c>
      <c r="AX30" s="35">
        <v>48.62</v>
      </c>
      <c r="AY30" s="12">
        <v>17.510000000000002</v>
      </c>
      <c r="AZ30" s="12"/>
      <c r="BA30" s="12">
        <v>5.19</v>
      </c>
      <c r="BB30" s="12"/>
      <c r="BC30" s="169">
        <f t="shared" si="22"/>
        <v>577.13575795693146</v>
      </c>
      <c r="BD30" s="165">
        <f t="shared" si="23"/>
        <v>44.042084559918777</v>
      </c>
      <c r="BE30" s="169">
        <f t="shared" si="24"/>
        <v>632.3315004316496</v>
      </c>
      <c r="BF30" s="172">
        <f t="shared" si="9"/>
        <v>555.55513652257127</v>
      </c>
    </row>
    <row r="31" spans="1:58" ht="63">
      <c r="A31" s="28" t="s">
        <v>44</v>
      </c>
      <c r="B31" s="20" t="s">
        <v>111</v>
      </c>
      <c r="C31" s="43">
        <v>151</v>
      </c>
      <c r="D31" s="10" t="s">
        <v>120</v>
      </c>
      <c r="E31" s="40">
        <v>4</v>
      </c>
      <c r="F31" s="41">
        <v>56.44</v>
      </c>
      <c r="G31" s="35">
        <v>8</v>
      </c>
      <c r="H31" s="35">
        <f t="shared" si="32"/>
        <v>4.5152000000000001</v>
      </c>
      <c r="I31" s="35"/>
      <c r="J31" s="35">
        <f t="shared" si="33"/>
        <v>0</v>
      </c>
      <c r="K31" s="35">
        <v>0</v>
      </c>
      <c r="L31" s="35">
        <f t="shared" si="34"/>
        <v>0</v>
      </c>
      <c r="M31" s="35">
        <v>0</v>
      </c>
      <c r="N31" s="35">
        <v>0</v>
      </c>
      <c r="O31" s="35">
        <f t="shared" si="35"/>
        <v>0</v>
      </c>
      <c r="P31" s="35"/>
      <c r="Q31" s="35"/>
      <c r="R31" s="35">
        <v>40</v>
      </c>
      <c r="S31" s="35">
        <f t="shared" si="36"/>
        <v>24.382080000000002</v>
      </c>
      <c r="T31" s="35">
        <v>30</v>
      </c>
      <c r="U31" s="35">
        <f t="shared" si="37"/>
        <v>25.601184</v>
      </c>
      <c r="V31" s="35">
        <v>30</v>
      </c>
      <c r="W31" s="35">
        <f t="shared" si="38"/>
        <v>25.601184</v>
      </c>
      <c r="X31" s="12">
        <f t="shared" si="39"/>
        <v>136.539648</v>
      </c>
      <c r="Y31" s="65">
        <f t="shared" si="10"/>
        <v>1.5228426395939085</v>
      </c>
      <c r="Z31" s="65">
        <f t="shared" si="11"/>
        <v>8.1923788799999997</v>
      </c>
      <c r="AA31" s="65">
        <f t="shared" si="12"/>
        <v>9.5577753600000008</v>
      </c>
      <c r="AB31" s="65">
        <f t="shared" si="13"/>
        <v>155.8126448795939</v>
      </c>
      <c r="AC31" s="12">
        <f t="shared" si="14"/>
        <v>47.055418753637355</v>
      </c>
      <c r="AD31" s="12">
        <f t="shared" si="15"/>
        <v>15.269639198200203</v>
      </c>
      <c r="AE31" s="65">
        <f t="shared" si="16"/>
        <v>7.8919104631514303</v>
      </c>
      <c r="AF31" s="12" t="s">
        <v>27</v>
      </c>
      <c r="AG31" s="35">
        <v>32.83</v>
      </c>
      <c r="AH31" s="35">
        <v>65.400000000000006</v>
      </c>
      <c r="AI31" s="66">
        <f t="shared" si="17"/>
        <v>65.400000000000006</v>
      </c>
      <c r="AJ31" s="66"/>
      <c r="AK31" s="66">
        <f t="shared" si="18"/>
        <v>75.209999999999994</v>
      </c>
      <c r="AL31" s="65">
        <f t="shared" si="19"/>
        <v>67.852500000000006</v>
      </c>
      <c r="AM31" s="65">
        <f t="shared" si="20"/>
        <v>2227.5975750000002</v>
      </c>
      <c r="AN31" s="12" t="s">
        <v>73</v>
      </c>
      <c r="AO31" s="12">
        <v>52.25</v>
      </c>
      <c r="AP31" s="12"/>
      <c r="AQ31" s="65">
        <f>AL31*AP31/100*AO31</f>
        <v>0</v>
      </c>
      <c r="AR31" s="35">
        <v>50000</v>
      </c>
      <c r="AS31" s="35">
        <v>23</v>
      </c>
      <c r="AT31" s="10" t="s">
        <v>77</v>
      </c>
      <c r="AU31" s="10">
        <v>4422.03</v>
      </c>
      <c r="AV31" s="35">
        <v>2</v>
      </c>
      <c r="AW31" s="67">
        <f t="shared" si="21"/>
        <v>4.0682675999999995</v>
      </c>
      <c r="AX31" s="35">
        <v>48.62</v>
      </c>
      <c r="AY31" s="12">
        <v>17.510000000000002</v>
      </c>
      <c r="AZ31" s="12"/>
      <c r="BA31" s="12">
        <v>5.19</v>
      </c>
      <c r="BB31" s="12"/>
      <c r="BC31" s="169">
        <f t="shared" si="22"/>
        <v>2521.1235454314319</v>
      </c>
      <c r="BD31" s="165">
        <f t="shared" si="23"/>
        <v>31.162528975918782</v>
      </c>
      <c r="BE31" s="169">
        <f t="shared" si="24"/>
        <v>2560.1779848705019</v>
      </c>
      <c r="BF31" s="172">
        <f t="shared" si="9"/>
        <v>2505.8539062332316</v>
      </c>
    </row>
    <row r="32" spans="1:58" ht="63">
      <c r="A32" s="28" t="s">
        <v>45</v>
      </c>
      <c r="B32" s="20" t="s">
        <v>112</v>
      </c>
      <c r="C32" s="7">
        <v>11</v>
      </c>
      <c r="D32" s="10" t="s">
        <v>120</v>
      </c>
      <c r="E32" s="40">
        <v>4</v>
      </c>
      <c r="F32" s="41">
        <v>56.44</v>
      </c>
      <c r="G32" s="35">
        <v>8</v>
      </c>
      <c r="H32" s="35">
        <f t="shared" si="32"/>
        <v>4.5152000000000001</v>
      </c>
      <c r="I32" s="35"/>
      <c r="J32" s="35">
        <f t="shared" si="33"/>
        <v>0</v>
      </c>
      <c r="K32" s="35">
        <v>0</v>
      </c>
      <c r="L32" s="35">
        <f t="shared" si="34"/>
        <v>0</v>
      </c>
      <c r="M32" s="35">
        <v>0</v>
      </c>
      <c r="N32" s="35">
        <v>0</v>
      </c>
      <c r="O32" s="35">
        <f t="shared" si="35"/>
        <v>0</v>
      </c>
      <c r="P32" s="35"/>
      <c r="Q32" s="35"/>
      <c r="R32" s="35">
        <v>40</v>
      </c>
      <c r="S32" s="35">
        <f t="shared" si="36"/>
        <v>24.382080000000002</v>
      </c>
      <c r="T32" s="35">
        <v>30</v>
      </c>
      <c r="U32" s="35">
        <f t="shared" si="37"/>
        <v>25.601184</v>
      </c>
      <c r="V32" s="35">
        <v>30</v>
      </c>
      <c r="W32" s="35">
        <f t="shared" si="38"/>
        <v>25.601184</v>
      </c>
      <c r="X32" s="12">
        <f t="shared" si="39"/>
        <v>136.539648</v>
      </c>
      <c r="Y32" s="65">
        <f t="shared" si="10"/>
        <v>1.5228426395939085</v>
      </c>
      <c r="Z32" s="65">
        <f t="shared" si="11"/>
        <v>8.1923788799999997</v>
      </c>
      <c r="AA32" s="65">
        <f t="shared" si="12"/>
        <v>9.5577753600000008</v>
      </c>
      <c r="AB32" s="65">
        <f t="shared" si="13"/>
        <v>155.8126448795939</v>
      </c>
      <c r="AC32" s="12">
        <f t="shared" si="14"/>
        <v>47.055418753637355</v>
      </c>
      <c r="AD32" s="12">
        <f t="shared" si="15"/>
        <v>15.269639198200203</v>
      </c>
      <c r="AE32" s="65">
        <f t="shared" si="16"/>
        <v>7.8919104631514303</v>
      </c>
      <c r="AF32" s="12" t="s">
        <v>27</v>
      </c>
      <c r="AG32" s="35">
        <v>32.83</v>
      </c>
      <c r="AH32" s="35">
        <v>18.8</v>
      </c>
      <c r="AI32" s="66">
        <f t="shared" si="17"/>
        <v>18.8</v>
      </c>
      <c r="AJ32" s="66"/>
      <c r="AK32" s="66">
        <f t="shared" si="18"/>
        <v>21.619999999999997</v>
      </c>
      <c r="AL32" s="65">
        <f t="shared" si="19"/>
        <v>19.504999999999999</v>
      </c>
      <c r="AM32" s="65">
        <f t="shared" si="20"/>
        <v>640.3491499999999</v>
      </c>
      <c r="AN32" s="12" t="s">
        <v>73</v>
      </c>
      <c r="AO32" s="12">
        <v>52.25</v>
      </c>
      <c r="AP32" s="12">
        <v>4.5</v>
      </c>
      <c r="AQ32" s="65">
        <f>AL32*AP32/100*AO32</f>
        <v>45.86113125</v>
      </c>
      <c r="AR32" s="35">
        <v>50000</v>
      </c>
      <c r="AS32" s="35">
        <v>23</v>
      </c>
      <c r="AT32" s="10" t="s">
        <v>77</v>
      </c>
      <c r="AU32" s="10">
        <v>4422.03</v>
      </c>
      <c r="AV32" s="35">
        <v>2</v>
      </c>
      <c r="AW32" s="67">
        <f t="shared" si="21"/>
        <v>4.0682675999999995</v>
      </c>
      <c r="AX32" s="35">
        <v>48.62</v>
      </c>
      <c r="AY32" s="12">
        <v>17.510000000000002</v>
      </c>
      <c r="AZ32" s="12"/>
      <c r="BA32" s="12">
        <v>5.19</v>
      </c>
      <c r="BB32" s="12"/>
      <c r="BC32" s="169">
        <f t="shared" si="22"/>
        <v>979.73625168143144</v>
      </c>
      <c r="BD32" s="165">
        <f t="shared" si="23"/>
        <v>31.162528975918782</v>
      </c>
      <c r="BE32" s="169">
        <f t="shared" si="24"/>
        <v>1018.7906911205017</v>
      </c>
      <c r="BF32" s="172">
        <f t="shared" si="9"/>
        <v>964.46661248323119</v>
      </c>
    </row>
    <row r="33" spans="1:58" ht="63">
      <c r="A33" s="28" t="s">
        <v>46</v>
      </c>
      <c r="B33" s="20" t="s">
        <v>113</v>
      </c>
      <c r="C33" s="7">
        <v>111</v>
      </c>
      <c r="D33" s="10" t="s">
        <v>120</v>
      </c>
      <c r="E33" s="40">
        <v>4</v>
      </c>
      <c r="F33" s="41">
        <v>56.44</v>
      </c>
      <c r="G33" s="35">
        <v>8</v>
      </c>
      <c r="H33" s="35">
        <f t="shared" si="32"/>
        <v>4.5152000000000001</v>
      </c>
      <c r="I33" s="35"/>
      <c r="J33" s="35">
        <f t="shared" si="33"/>
        <v>0</v>
      </c>
      <c r="K33" s="35">
        <v>0</v>
      </c>
      <c r="L33" s="35">
        <f t="shared" si="34"/>
        <v>0</v>
      </c>
      <c r="M33" s="35">
        <v>0</v>
      </c>
      <c r="N33" s="35">
        <v>0</v>
      </c>
      <c r="O33" s="35">
        <f t="shared" si="35"/>
        <v>0</v>
      </c>
      <c r="P33" s="35"/>
      <c r="Q33" s="35"/>
      <c r="R33" s="35">
        <v>40</v>
      </c>
      <c r="S33" s="35">
        <f t="shared" si="36"/>
        <v>24.382080000000002</v>
      </c>
      <c r="T33" s="35">
        <v>30</v>
      </c>
      <c r="U33" s="35">
        <f t="shared" si="37"/>
        <v>25.601184</v>
      </c>
      <c r="V33" s="35">
        <v>30</v>
      </c>
      <c r="W33" s="35">
        <f t="shared" si="38"/>
        <v>25.601184</v>
      </c>
      <c r="X33" s="12">
        <f t="shared" si="39"/>
        <v>136.539648</v>
      </c>
      <c r="Y33" s="65">
        <f t="shared" si="10"/>
        <v>1.5228426395939085</v>
      </c>
      <c r="Z33" s="65">
        <f t="shared" si="11"/>
        <v>8.1923788799999997</v>
      </c>
      <c r="AA33" s="65">
        <f t="shared" si="12"/>
        <v>9.5577753600000008</v>
      </c>
      <c r="AB33" s="65">
        <f t="shared" si="13"/>
        <v>155.8126448795939</v>
      </c>
      <c r="AC33" s="12">
        <f t="shared" si="14"/>
        <v>47.055418753637355</v>
      </c>
      <c r="AD33" s="12">
        <f t="shared" si="15"/>
        <v>15.269639198200203</v>
      </c>
      <c r="AE33" s="65">
        <f t="shared" si="16"/>
        <v>7.8919104631514303</v>
      </c>
      <c r="AF33" s="12" t="s">
        <v>27</v>
      </c>
      <c r="AG33" s="35">
        <v>32.83</v>
      </c>
      <c r="AH33" s="35">
        <v>9.9</v>
      </c>
      <c r="AI33" s="66">
        <f t="shared" si="17"/>
        <v>9.9</v>
      </c>
      <c r="AJ33" s="66"/>
      <c r="AK33" s="66">
        <f t="shared" si="18"/>
        <v>11.385</v>
      </c>
      <c r="AL33" s="65">
        <f t="shared" si="19"/>
        <v>10.27125</v>
      </c>
      <c r="AM33" s="65">
        <f t="shared" si="20"/>
        <v>337.20513749999998</v>
      </c>
      <c r="AN33" s="12" t="s">
        <v>73</v>
      </c>
      <c r="AO33" s="12">
        <v>52.25</v>
      </c>
      <c r="AP33" s="12">
        <v>4.5</v>
      </c>
      <c r="AQ33" s="65">
        <f>AL33*AP33/100*AO33</f>
        <v>24.1502765625</v>
      </c>
      <c r="AR33" s="35">
        <v>50000</v>
      </c>
      <c r="AS33" s="35">
        <v>23</v>
      </c>
      <c r="AT33" s="10" t="s">
        <v>77</v>
      </c>
      <c r="AU33" s="10">
        <v>4422.03</v>
      </c>
      <c r="AV33" s="35">
        <v>2</v>
      </c>
      <c r="AW33" s="67">
        <f t="shared" si="21"/>
        <v>4.0682675999999995</v>
      </c>
      <c r="AX33" s="35">
        <v>48.62</v>
      </c>
      <c r="AY33" s="12">
        <v>17.510000000000002</v>
      </c>
      <c r="AZ33" s="12"/>
      <c r="BA33" s="12">
        <v>5.19</v>
      </c>
      <c r="BB33" s="12"/>
      <c r="BC33" s="169">
        <f t="shared" si="22"/>
        <v>654.88138449393159</v>
      </c>
      <c r="BD33" s="165">
        <f t="shared" si="23"/>
        <v>31.162528975918782</v>
      </c>
      <c r="BE33" s="169">
        <f t="shared" si="24"/>
        <v>693.93582393300187</v>
      </c>
      <c r="BF33" s="172">
        <f t="shared" si="9"/>
        <v>639.61174529573134</v>
      </c>
    </row>
    <row r="34" spans="1:58" ht="63">
      <c r="A34" s="28" t="s">
        <v>47</v>
      </c>
      <c r="B34" s="20" t="s">
        <v>114</v>
      </c>
      <c r="C34" s="7">
        <v>112</v>
      </c>
      <c r="D34" s="10" t="s">
        <v>120</v>
      </c>
      <c r="E34" s="40">
        <v>4</v>
      </c>
      <c r="F34" s="41">
        <v>56.44</v>
      </c>
      <c r="G34" s="35">
        <v>8</v>
      </c>
      <c r="H34" s="35">
        <f t="shared" si="32"/>
        <v>4.5152000000000001</v>
      </c>
      <c r="I34" s="35"/>
      <c r="J34" s="35">
        <f t="shared" si="33"/>
        <v>0</v>
      </c>
      <c r="K34" s="35">
        <v>0</v>
      </c>
      <c r="L34" s="35">
        <f t="shared" si="34"/>
        <v>0</v>
      </c>
      <c r="M34" s="35">
        <v>0</v>
      </c>
      <c r="N34" s="35">
        <v>0</v>
      </c>
      <c r="O34" s="35">
        <f t="shared" si="35"/>
        <v>0</v>
      </c>
      <c r="P34" s="35"/>
      <c r="Q34" s="35"/>
      <c r="R34" s="35">
        <v>40</v>
      </c>
      <c r="S34" s="35">
        <f t="shared" si="36"/>
        <v>24.382080000000002</v>
      </c>
      <c r="T34" s="35">
        <v>30</v>
      </c>
      <c r="U34" s="35">
        <f t="shared" si="37"/>
        <v>25.601184</v>
      </c>
      <c r="V34" s="35">
        <v>30</v>
      </c>
      <c r="W34" s="35">
        <f t="shared" si="38"/>
        <v>25.601184</v>
      </c>
      <c r="X34" s="12">
        <f t="shared" si="39"/>
        <v>136.539648</v>
      </c>
      <c r="Y34" s="65">
        <f t="shared" si="10"/>
        <v>1.5228426395939085</v>
      </c>
      <c r="Z34" s="65">
        <f t="shared" si="11"/>
        <v>8.1923788799999997</v>
      </c>
      <c r="AA34" s="65">
        <f t="shared" si="12"/>
        <v>9.5577753600000008</v>
      </c>
      <c r="AB34" s="65">
        <f t="shared" si="13"/>
        <v>155.8126448795939</v>
      </c>
      <c r="AC34" s="12">
        <f t="shared" si="14"/>
        <v>47.055418753637355</v>
      </c>
      <c r="AD34" s="12">
        <f t="shared" si="15"/>
        <v>15.269639198200203</v>
      </c>
      <c r="AE34" s="65">
        <f t="shared" si="16"/>
        <v>7.8919104631514303</v>
      </c>
      <c r="AF34" s="12" t="s">
        <v>27</v>
      </c>
      <c r="AG34" s="35">
        <v>32.83</v>
      </c>
      <c r="AH34" s="35">
        <v>9.9</v>
      </c>
      <c r="AI34" s="66">
        <f t="shared" si="17"/>
        <v>9.9</v>
      </c>
      <c r="AJ34" s="66"/>
      <c r="AK34" s="66">
        <f t="shared" si="18"/>
        <v>11.385</v>
      </c>
      <c r="AL34" s="65">
        <f t="shared" si="19"/>
        <v>10.27125</v>
      </c>
      <c r="AM34" s="65">
        <f t="shared" si="20"/>
        <v>337.20513749999998</v>
      </c>
      <c r="AN34" s="12" t="s">
        <v>73</v>
      </c>
      <c r="AO34" s="12">
        <v>52.25</v>
      </c>
      <c r="AP34" s="12">
        <v>4.5</v>
      </c>
      <c r="AQ34" s="65">
        <f>AL34*AP34/100*AO34</f>
        <v>24.1502765625</v>
      </c>
      <c r="AR34" s="35">
        <v>50000</v>
      </c>
      <c r="AS34" s="35">
        <v>23</v>
      </c>
      <c r="AT34" s="10" t="s">
        <v>77</v>
      </c>
      <c r="AU34" s="10">
        <v>4422.03</v>
      </c>
      <c r="AV34" s="35">
        <v>2</v>
      </c>
      <c r="AW34" s="67">
        <f t="shared" si="21"/>
        <v>4.0682675999999995</v>
      </c>
      <c r="AX34" s="35">
        <v>48.62</v>
      </c>
      <c r="AY34" s="12">
        <v>17.510000000000002</v>
      </c>
      <c r="AZ34" s="12"/>
      <c r="BA34" s="12">
        <v>5.19</v>
      </c>
      <c r="BB34" s="12"/>
      <c r="BC34" s="169">
        <f t="shared" si="22"/>
        <v>654.88138449393159</v>
      </c>
      <c r="BD34" s="165">
        <f t="shared" si="23"/>
        <v>31.162528975918782</v>
      </c>
      <c r="BE34" s="169">
        <f t="shared" si="24"/>
        <v>693.93582393300187</v>
      </c>
      <c r="BF34" s="172">
        <f t="shared" si="9"/>
        <v>639.61174529573134</v>
      </c>
    </row>
    <row r="35" spans="1:58" ht="78.75">
      <c r="A35" s="28" t="s">
        <v>48</v>
      </c>
      <c r="B35" s="20" t="s">
        <v>122</v>
      </c>
      <c r="C35" s="7"/>
      <c r="D35" s="10" t="s">
        <v>121</v>
      </c>
      <c r="E35" s="40">
        <v>5</v>
      </c>
      <c r="F35" s="35">
        <v>77.14</v>
      </c>
      <c r="G35" s="12">
        <v>12</v>
      </c>
      <c r="H35" s="35">
        <f>F35*G35/100</f>
        <v>9.2568000000000001</v>
      </c>
      <c r="I35" s="12"/>
      <c r="J35" s="35">
        <f>F35*I35/100</f>
        <v>0</v>
      </c>
      <c r="K35" s="12"/>
      <c r="L35" s="35">
        <f>F35*K35/100</f>
        <v>0</v>
      </c>
      <c r="M35" s="12"/>
      <c r="N35" s="12">
        <v>0</v>
      </c>
      <c r="O35" s="35">
        <f>F35*N35/100</f>
        <v>0</v>
      </c>
      <c r="P35" s="12"/>
      <c r="Q35" s="12"/>
      <c r="R35" s="35">
        <v>40</v>
      </c>
      <c r="S35" s="35">
        <f>(F35+H35+J35+L35+M35+O35+Q35)*R35/100</f>
        <v>34.558720000000001</v>
      </c>
      <c r="T35" s="35">
        <v>30</v>
      </c>
      <c r="U35" s="35">
        <f>(F35+H35+J35+L35+M35+O35+Q35+S35)*30/100</f>
        <v>36.286656000000001</v>
      </c>
      <c r="V35" s="35">
        <v>30</v>
      </c>
      <c r="W35" s="35">
        <f>U35</f>
        <v>36.286656000000001</v>
      </c>
      <c r="X35" s="12">
        <f>F35+H35+J35+L35+M35+O35+Q35+S35+U35+W35</f>
        <v>193.52883199999999</v>
      </c>
      <c r="Y35" s="65">
        <f t="shared" si="10"/>
        <v>1.5228426395939085</v>
      </c>
      <c r="Z35" s="65">
        <f t="shared" si="11"/>
        <v>11.611729919999998</v>
      </c>
      <c r="AA35" s="65">
        <f t="shared" si="12"/>
        <v>13.547018240000002</v>
      </c>
      <c r="AB35" s="65">
        <f t="shared" si="13"/>
        <v>220.21042279959389</v>
      </c>
      <c r="AC35" s="12">
        <f t="shared" si="14"/>
        <v>66.503547685477358</v>
      </c>
      <c r="AD35" s="12"/>
      <c r="AE35" s="65">
        <f t="shared" si="16"/>
        <v>11.15365791479943</v>
      </c>
      <c r="AF35" s="12" t="s">
        <v>143</v>
      </c>
      <c r="AG35" s="35">
        <v>2.4900000000000002</v>
      </c>
      <c r="AH35" s="35">
        <v>2.7</v>
      </c>
      <c r="AI35" s="66">
        <v>2.7</v>
      </c>
      <c r="AJ35" s="66"/>
      <c r="AK35" s="66">
        <v>2.7</v>
      </c>
      <c r="AL35" s="65">
        <f t="shared" si="19"/>
        <v>2.7000000000000006</v>
      </c>
      <c r="AM35" s="65">
        <f>AG35*AL35</f>
        <v>6.7230000000000025</v>
      </c>
      <c r="AN35" s="12"/>
      <c r="AO35" s="12"/>
      <c r="AP35" s="12"/>
      <c r="AQ35" s="65"/>
      <c r="AR35" s="35"/>
      <c r="AS35" s="35"/>
      <c r="AT35" s="35"/>
      <c r="AU35" s="35"/>
      <c r="AV35" s="35"/>
      <c r="AW35" s="67"/>
      <c r="AX35" s="35">
        <v>48.62</v>
      </c>
      <c r="AY35" s="12">
        <v>17.510000000000002</v>
      </c>
      <c r="AZ35" s="12"/>
      <c r="BA35" s="12">
        <v>5.19</v>
      </c>
      <c r="BB35" s="12"/>
      <c r="BC35" s="169">
        <f t="shared" si="22"/>
        <v>364.75697048507124</v>
      </c>
      <c r="BD35" s="165">
        <f t="shared" si="23"/>
        <v>44.042084559918777</v>
      </c>
      <c r="BE35" s="169">
        <f t="shared" si="24"/>
        <v>419.95271295978944</v>
      </c>
      <c r="BF35" s="172">
        <f t="shared" si="9"/>
        <v>364.75697048507124</v>
      </c>
    </row>
    <row r="36" spans="1:58" ht="78.75">
      <c r="A36" s="28" t="s">
        <v>49</v>
      </c>
      <c r="B36" s="20" t="s">
        <v>123</v>
      </c>
      <c r="C36" s="7"/>
      <c r="D36" s="10" t="s">
        <v>121</v>
      </c>
      <c r="E36" s="40">
        <v>5</v>
      </c>
      <c r="F36" s="35">
        <v>77.14</v>
      </c>
      <c r="G36" s="12">
        <v>12</v>
      </c>
      <c r="H36" s="35">
        <f>F36*G36/100</f>
        <v>9.2568000000000001</v>
      </c>
      <c r="I36" s="12"/>
      <c r="J36" s="35">
        <f>F36*I36/100</f>
        <v>0</v>
      </c>
      <c r="K36" s="12"/>
      <c r="L36" s="35">
        <f>F36*K36/100</f>
        <v>0</v>
      </c>
      <c r="M36" s="12"/>
      <c r="N36" s="12">
        <v>0</v>
      </c>
      <c r="O36" s="35">
        <f>F36*N36/100</f>
        <v>0</v>
      </c>
      <c r="P36" s="12"/>
      <c r="Q36" s="12"/>
      <c r="R36" s="35">
        <v>40</v>
      </c>
      <c r="S36" s="35">
        <f>(F36+H36+J36+L36+M36+O36+Q36)*R36/100</f>
        <v>34.558720000000001</v>
      </c>
      <c r="T36" s="35">
        <v>30</v>
      </c>
      <c r="U36" s="35">
        <f>(F36+H36+J36+L36+M36+O36+Q36+S36)*30/100</f>
        <v>36.286656000000001</v>
      </c>
      <c r="V36" s="35">
        <v>30</v>
      </c>
      <c r="W36" s="35">
        <f>U36</f>
        <v>36.286656000000001</v>
      </c>
      <c r="X36" s="12">
        <f>F36+H36+J36+L36+M36+O36+Q36+S36+U36+W36</f>
        <v>193.52883199999999</v>
      </c>
      <c r="Y36" s="65">
        <f t="shared" si="10"/>
        <v>1.5228426395939085</v>
      </c>
      <c r="Z36" s="65">
        <f t="shared" si="11"/>
        <v>11.611729919999998</v>
      </c>
      <c r="AA36" s="65">
        <f t="shared" si="12"/>
        <v>13.547018240000002</v>
      </c>
      <c r="AB36" s="65">
        <f t="shared" si="13"/>
        <v>220.21042279959389</v>
      </c>
      <c r="AC36" s="12">
        <f t="shared" si="14"/>
        <v>66.503547685477358</v>
      </c>
      <c r="AD36" s="12"/>
      <c r="AE36" s="65">
        <f t="shared" si="16"/>
        <v>11.15365791479943</v>
      </c>
      <c r="AF36" s="12" t="s">
        <v>143</v>
      </c>
      <c r="AG36" s="35">
        <v>2.4900000000000002</v>
      </c>
      <c r="AH36" s="35">
        <v>4.8</v>
      </c>
      <c r="AI36" s="66">
        <v>4.8</v>
      </c>
      <c r="AJ36" s="66"/>
      <c r="AK36" s="66">
        <v>4.8</v>
      </c>
      <c r="AL36" s="65">
        <f t="shared" ref="AL36:AL59" si="40">(AI36*9+AK36*3)/12</f>
        <v>4.8</v>
      </c>
      <c r="AM36" s="65">
        <f>AG36*AL36</f>
        <v>11.952</v>
      </c>
      <c r="AN36" s="12"/>
      <c r="AO36" s="12"/>
      <c r="AP36" s="12"/>
      <c r="AQ36" s="65"/>
      <c r="AR36" s="35"/>
      <c r="AS36" s="35"/>
      <c r="AT36" s="35"/>
      <c r="AU36" s="35"/>
      <c r="AV36" s="35"/>
      <c r="AW36" s="67"/>
      <c r="AX36" s="35">
        <v>48.62</v>
      </c>
      <c r="AY36" s="12">
        <v>17.510000000000002</v>
      </c>
      <c r="AZ36" s="12"/>
      <c r="BA36" s="12">
        <v>5.19</v>
      </c>
      <c r="BB36" s="12"/>
      <c r="BC36" s="169">
        <f t="shared" si="22"/>
        <v>369.98597048507122</v>
      </c>
      <c r="BD36" s="165">
        <f t="shared" si="23"/>
        <v>44.042084559918777</v>
      </c>
      <c r="BE36" s="169">
        <f t="shared" si="24"/>
        <v>425.18171295978948</v>
      </c>
      <c r="BF36" s="172">
        <f t="shared" si="9"/>
        <v>369.98597048507122</v>
      </c>
    </row>
    <row r="37" spans="1:58" ht="78.75">
      <c r="A37" s="28" t="s">
        <v>50</v>
      </c>
      <c r="B37" s="20" t="s">
        <v>124</v>
      </c>
      <c r="C37" s="7"/>
      <c r="D37" s="10" t="s">
        <v>121</v>
      </c>
      <c r="E37" s="40">
        <v>5</v>
      </c>
      <c r="F37" s="35">
        <v>77.14</v>
      </c>
      <c r="G37" s="12">
        <v>12</v>
      </c>
      <c r="H37" s="35">
        <f>F37*G37/100</f>
        <v>9.2568000000000001</v>
      </c>
      <c r="I37" s="12"/>
      <c r="J37" s="35">
        <f>F37*I37/100</f>
        <v>0</v>
      </c>
      <c r="K37" s="12"/>
      <c r="L37" s="35">
        <f>F37*K37/100</f>
        <v>0</v>
      </c>
      <c r="M37" s="12"/>
      <c r="N37" s="12">
        <v>0</v>
      </c>
      <c r="O37" s="35">
        <f>F37*N37/100</f>
        <v>0</v>
      </c>
      <c r="P37" s="12"/>
      <c r="Q37" s="12"/>
      <c r="R37" s="35">
        <v>40</v>
      </c>
      <c r="S37" s="35">
        <f>(F37+H37+J37+L37+M37+O37+Q37)*R37/100</f>
        <v>34.558720000000001</v>
      </c>
      <c r="T37" s="35">
        <v>30</v>
      </c>
      <c r="U37" s="35">
        <f>(F37+H37+J37+L37+M37+O37+Q37+S37)*30/100</f>
        <v>36.286656000000001</v>
      </c>
      <c r="V37" s="35">
        <v>30</v>
      </c>
      <c r="W37" s="35">
        <f>U37</f>
        <v>36.286656000000001</v>
      </c>
      <c r="X37" s="12">
        <f>F37+H37+J37+L37+M37+O37+Q37+S37+U37+W37</f>
        <v>193.52883199999999</v>
      </c>
      <c r="Y37" s="65">
        <f t="shared" si="10"/>
        <v>1.5228426395939085</v>
      </c>
      <c r="Z37" s="65">
        <f t="shared" si="11"/>
        <v>11.611729919999998</v>
      </c>
      <c r="AA37" s="65">
        <f t="shared" si="12"/>
        <v>13.547018240000002</v>
      </c>
      <c r="AB37" s="65">
        <f t="shared" si="13"/>
        <v>220.21042279959389</v>
      </c>
      <c r="AC37" s="12">
        <f t="shared" si="14"/>
        <v>66.503547685477358</v>
      </c>
      <c r="AD37" s="12"/>
      <c r="AE37" s="65">
        <f t="shared" si="16"/>
        <v>11.15365791479943</v>
      </c>
      <c r="AF37" s="12" t="s">
        <v>143</v>
      </c>
      <c r="AG37" s="35">
        <v>2.4900000000000002</v>
      </c>
      <c r="AH37" s="35">
        <v>11.5</v>
      </c>
      <c r="AI37" s="66">
        <v>11.5</v>
      </c>
      <c r="AJ37" s="66"/>
      <c r="AK37" s="66">
        <v>11.5</v>
      </c>
      <c r="AL37" s="65">
        <f t="shared" si="40"/>
        <v>11.5</v>
      </c>
      <c r="AM37" s="65">
        <f>AG37*AL37</f>
        <v>28.635000000000002</v>
      </c>
      <c r="AN37" s="12"/>
      <c r="AO37" s="12"/>
      <c r="AP37" s="12"/>
      <c r="AQ37" s="65"/>
      <c r="AR37" s="35"/>
      <c r="AS37" s="35"/>
      <c r="AT37" s="35"/>
      <c r="AU37" s="35"/>
      <c r="AV37" s="35"/>
      <c r="AW37" s="67"/>
      <c r="AX37" s="35">
        <v>48.62</v>
      </c>
      <c r="AY37" s="12">
        <v>17.510000000000002</v>
      </c>
      <c r="AZ37" s="12"/>
      <c r="BA37" s="12">
        <v>5.19</v>
      </c>
      <c r="BB37" s="12"/>
      <c r="BC37" s="169">
        <f t="shared" si="22"/>
        <v>386.66897048507121</v>
      </c>
      <c r="BD37" s="165">
        <f t="shared" si="23"/>
        <v>44.042084559918777</v>
      </c>
      <c r="BE37" s="169">
        <f t="shared" si="24"/>
        <v>441.86471295978947</v>
      </c>
      <c r="BF37" s="172">
        <f t="shared" si="9"/>
        <v>386.66897048507121</v>
      </c>
    </row>
    <row r="38" spans="1:58" ht="47.25">
      <c r="A38" s="28" t="s">
        <v>51</v>
      </c>
      <c r="B38" s="20" t="s">
        <v>125</v>
      </c>
      <c r="C38" s="7"/>
      <c r="D38" s="20" t="s">
        <v>119</v>
      </c>
      <c r="E38" s="40">
        <v>5</v>
      </c>
      <c r="F38" s="35">
        <v>77.14</v>
      </c>
      <c r="G38" s="12">
        <v>6</v>
      </c>
      <c r="H38" s="35">
        <f>F38*G38/100</f>
        <v>4.6284000000000001</v>
      </c>
      <c r="I38" s="12"/>
      <c r="J38" s="35">
        <f>F38*I38/100</f>
        <v>0</v>
      </c>
      <c r="K38" s="12"/>
      <c r="L38" s="35">
        <f>F38*K38/100</f>
        <v>0</v>
      </c>
      <c r="M38" s="12"/>
      <c r="N38" s="12">
        <v>0</v>
      </c>
      <c r="O38" s="35">
        <f>F38*N38/100</f>
        <v>0</v>
      </c>
      <c r="P38" s="12"/>
      <c r="Q38" s="12"/>
      <c r="R38" s="35">
        <v>40</v>
      </c>
      <c r="S38" s="35">
        <f>(F38+H38+J38+L38+M38+O38+Q38)*R38/100</f>
        <v>32.707360000000001</v>
      </c>
      <c r="T38" s="35">
        <v>30</v>
      </c>
      <c r="U38" s="35">
        <f>(F38+H38+J38+L38+M38+O38+Q38+S38)*30/100</f>
        <v>34.342728000000001</v>
      </c>
      <c r="V38" s="35">
        <v>30</v>
      </c>
      <c r="W38" s="35">
        <f>U38</f>
        <v>34.342728000000001</v>
      </c>
      <c r="X38" s="12">
        <f>F38+H38+J38+L38+M38+O38+Q38+S38+U38+W38</f>
        <v>183.161216</v>
      </c>
      <c r="Y38" s="65">
        <f t="shared" si="10"/>
        <v>1.5228426395939085</v>
      </c>
      <c r="Z38" s="65">
        <f t="shared" si="11"/>
        <v>10.98967296</v>
      </c>
      <c r="AA38" s="65">
        <f t="shared" si="12"/>
        <v>12.821285120000001</v>
      </c>
      <c r="AB38" s="65">
        <f t="shared" si="13"/>
        <v>208.49501671959391</v>
      </c>
      <c r="AC38" s="12">
        <f t="shared" si="14"/>
        <v>62.965495049317354</v>
      </c>
      <c r="AD38" s="12">
        <f>AB38*0.268</f>
        <v>55.876664480851169</v>
      </c>
      <c r="AE38" s="65">
        <f t="shared" si="16"/>
        <v>10.560272596847431</v>
      </c>
      <c r="AF38" s="10" t="s">
        <v>24</v>
      </c>
      <c r="AG38" s="10">
        <v>30.04</v>
      </c>
      <c r="AH38" s="35">
        <v>1.5</v>
      </c>
      <c r="AI38" s="66">
        <v>1.5</v>
      </c>
      <c r="AJ38" s="66"/>
      <c r="AK38" s="66">
        <v>1.7250000000000001</v>
      </c>
      <c r="AL38" s="65">
        <f t="shared" si="40"/>
        <v>1.5562500000000001</v>
      </c>
      <c r="AM38" s="65">
        <f>AG38*AL38</f>
        <v>46.749750000000006</v>
      </c>
      <c r="AN38" s="12"/>
      <c r="AO38" s="12"/>
      <c r="AP38" s="12"/>
      <c r="AQ38" s="65"/>
      <c r="AR38" s="35"/>
      <c r="AS38" s="35"/>
      <c r="AT38" s="35"/>
      <c r="AU38" s="35"/>
      <c r="AV38" s="35"/>
      <c r="AW38" s="67"/>
      <c r="AX38" s="35">
        <v>48.62</v>
      </c>
      <c r="AY38" s="12">
        <v>17.510000000000002</v>
      </c>
      <c r="AZ38" s="12"/>
      <c r="BA38" s="12">
        <v>5.19</v>
      </c>
      <c r="BB38" s="12"/>
      <c r="BC38" s="169">
        <f t="shared" si="22"/>
        <v>445.40692624976242</v>
      </c>
      <c r="BD38" s="165">
        <f t="shared" si="23"/>
        <v>41.699003343918783</v>
      </c>
      <c r="BE38" s="169">
        <f t="shared" si="24"/>
        <v>497.66620219052862</v>
      </c>
      <c r="BF38" s="172">
        <f t="shared" si="9"/>
        <v>389.53026176891126</v>
      </c>
    </row>
    <row r="39" spans="1:58" ht="78.75">
      <c r="A39" s="28" t="s">
        <v>52</v>
      </c>
      <c r="B39" s="20" t="s">
        <v>126</v>
      </c>
      <c r="C39" s="7"/>
      <c r="D39" s="20" t="s">
        <v>119</v>
      </c>
      <c r="E39" s="40">
        <v>5</v>
      </c>
      <c r="F39" s="35">
        <v>77.14</v>
      </c>
      <c r="G39" s="12">
        <v>6</v>
      </c>
      <c r="H39" s="35">
        <f>F39*G39/100</f>
        <v>4.6284000000000001</v>
      </c>
      <c r="I39" s="12"/>
      <c r="J39" s="35">
        <f>F39*I39/100</f>
        <v>0</v>
      </c>
      <c r="K39" s="12"/>
      <c r="L39" s="35">
        <f>F39*K39/100</f>
        <v>0</v>
      </c>
      <c r="M39" s="12"/>
      <c r="N39" s="12">
        <v>0</v>
      </c>
      <c r="O39" s="35">
        <f>F39*N39/100</f>
        <v>0</v>
      </c>
      <c r="P39" s="12"/>
      <c r="Q39" s="12"/>
      <c r="R39" s="35">
        <v>40</v>
      </c>
      <c r="S39" s="35">
        <f>(F39+H39+J39+L39+M39+O39+Q39)*R39/100</f>
        <v>32.707360000000001</v>
      </c>
      <c r="T39" s="35">
        <v>30</v>
      </c>
      <c r="U39" s="35">
        <f>(F39+H39+J39+L39+M39+O39+Q39+S39)*30/100</f>
        <v>34.342728000000001</v>
      </c>
      <c r="V39" s="35">
        <v>30</v>
      </c>
      <c r="W39" s="35">
        <f>U39</f>
        <v>34.342728000000001</v>
      </c>
      <c r="X39" s="12">
        <f>F39+H39+J39+L39+M39+O39+Q39+S39+U39+W39</f>
        <v>183.161216</v>
      </c>
      <c r="Y39" s="65">
        <f t="shared" si="10"/>
        <v>1.5228426395939085</v>
      </c>
      <c r="Z39" s="65">
        <f t="shared" si="11"/>
        <v>10.98967296</v>
      </c>
      <c r="AA39" s="65">
        <f t="shared" si="12"/>
        <v>12.821285120000001</v>
      </c>
      <c r="AB39" s="65">
        <f t="shared" si="13"/>
        <v>208.49501671959391</v>
      </c>
      <c r="AC39" s="12">
        <f t="shared" si="14"/>
        <v>62.965495049317354</v>
      </c>
      <c r="AD39" s="12"/>
      <c r="AE39" s="65">
        <f t="shared" si="16"/>
        <v>10.560272596847431</v>
      </c>
      <c r="AF39" s="12" t="s">
        <v>143</v>
      </c>
      <c r="AG39" s="35">
        <v>2.4900000000000002</v>
      </c>
      <c r="AH39" s="35">
        <v>5</v>
      </c>
      <c r="AI39" s="66">
        <v>5</v>
      </c>
      <c r="AJ39" s="66"/>
      <c r="AK39" s="66">
        <v>5</v>
      </c>
      <c r="AL39" s="65">
        <f t="shared" si="40"/>
        <v>5</v>
      </c>
      <c r="AM39" s="65">
        <f>AG39*AL39</f>
        <v>12.450000000000001</v>
      </c>
      <c r="AN39" s="12"/>
      <c r="AO39" s="12"/>
      <c r="AP39" s="12"/>
      <c r="AQ39" s="65"/>
      <c r="AR39" s="35"/>
      <c r="AS39" s="35"/>
      <c r="AT39" s="35"/>
      <c r="AU39" s="35"/>
      <c r="AV39" s="35"/>
      <c r="AW39" s="67"/>
      <c r="AX39" s="35">
        <v>48.62</v>
      </c>
      <c r="AY39" s="12">
        <v>17.510000000000002</v>
      </c>
      <c r="AZ39" s="12"/>
      <c r="BA39" s="12">
        <v>5.19</v>
      </c>
      <c r="BB39" s="12"/>
      <c r="BC39" s="169">
        <f t="shared" si="22"/>
        <v>355.23051176891124</v>
      </c>
      <c r="BD39" s="165">
        <f t="shared" si="23"/>
        <v>41.699003343918783</v>
      </c>
      <c r="BE39" s="169">
        <f t="shared" si="24"/>
        <v>407.48978770967744</v>
      </c>
      <c r="BF39" s="172">
        <f t="shared" si="9"/>
        <v>355.23051176891124</v>
      </c>
    </row>
    <row r="40" spans="1:58" ht="47.25">
      <c r="A40" s="130" t="s">
        <v>53</v>
      </c>
      <c r="B40" s="20" t="s">
        <v>127</v>
      </c>
      <c r="C40" s="7"/>
      <c r="D40" s="20"/>
      <c r="E40" s="40"/>
      <c r="F40" s="35"/>
      <c r="G40" s="12"/>
      <c r="H40" s="35"/>
      <c r="I40" s="12"/>
      <c r="J40" s="35"/>
      <c r="K40" s="12"/>
      <c r="L40" s="35"/>
      <c r="M40" s="12"/>
      <c r="N40" s="12"/>
      <c r="O40" s="35"/>
      <c r="P40" s="12"/>
      <c r="Q40" s="12"/>
      <c r="R40" s="35"/>
      <c r="S40" s="35"/>
      <c r="T40" s="35"/>
      <c r="U40" s="35"/>
      <c r="V40" s="35"/>
      <c r="W40" s="35"/>
      <c r="X40" s="12"/>
      <c r="Y40" s="12"/>
      <c r="Z40" s="12"/>
      <c r="AA40" s="12"/>
      <c r="AB40" s="12"/>
      <c r="AC40" s="12"/>
      <c r="AD40" s="12"/>
      <c r="AE40" s="65"/>
      <c r="AF40" s="12"/>
      <c r="AG40" s="12"/>
      <c r="AH40" s="35"/>
      <c r="AI40" s="66"/>
      <c r="AJ40" s="66"/>
      <c r="AK40" s="66"/>
      <c r="AL40" s="65"/>
      <c r="AM40" s="65"/>
      <c r="AN40" s="12"/>
      <c r="AO40" s="12"/>
      <c r="AP40" s="12"/>
      <c r="AQ40" s="65"/>
      <c r="AR40" s="35"/>
      <c r="AS40" s="35"/>
      <c r="AT40" s="35"/>
      <c r="AU40" s="35"/>
      <c r="AV40" s="35"/>
      <c r="AW40" s="67"/>
      <c r="AX40" s="35"/>
      <c r="AY40" s="12"/>
      <c r="AZ40" s="12"/>
      <c r="BA40" s="12"/>
      <c r="BB40" s="12"/>
      <c r="BC40" s="169"/>
      <c r="BD40" s="165"/>
      <c r="BE40" s="169"/>
      <c r="BF40" s="172"/>
    </row>
    <row r="41" spans="1:58" ht="47.25">
      <c r="A41" s="28"/>
      <c r="B41" s="20" t="s">
        <v>149</v>
      </c>
      <c r="C41" s="7"/>
      <c r="D41" s="20" t="s">
        <v>119</v>
      </c>
      <c r="E41" s="40">
        <v>5</v>
      </c>
      <c r="F41" s="35">
        <v>77.14</v>
      </c>
      <c r="G41" s="12">
        <v>6</v>
      </c>
      <c r="H41" s="35">
        <f>F41*G41/100</f>
        <v>4.6284000000000001</v>
      </c>
      <c r="I41" s="12"/>
      <c r="J41" s="35">
        <f>F41*I41/100</f>
        <v>0</v>
      </c>
      <c r="K41" s="12"/>
      <c r="L41" s="35">
        <f>F41*K41/100</f>
        <v>0</v>
      </c>
      <c r="M41" s="12"/>
      <c r="N41" s="12"/>
      <c r="O41" s="35">
        <f>F41*N41/100</f>
        <v>0</v>
      </c>
      <c r="P41" s="12"/>
      <c r="Q41" s="35"/>
      <c r="R41" s="35">
        <v>40</v>
      </c>
      <c r="S41" s="35">
        <f>(F41+H41+J41+L41+M41+O41+Q41)*R41/100</f>
        <v>32.707360000000001</v>
      </c>
      <c r="T41" s="35">
        <v>30</v>
      </c>
      <c r="U41" s="35">
        <f>(F41+H41+J41+L41+M41+O41+Q41+S41)*30/100</f>
        <v>34.342728000000001</v>
      </c>
      <c r="V41" s="35">
        <v>30</v>
      </c>
      <c r="W41" s="35">
        <f>U41</f>
        <v>34.342728000000001</v>
      </c>
      <c r="X41" s="12">
        <f>F41+H41+J41+L41+M41+O41+Q41+S41+U41+W41</f>
        <v>183.161216</v>
      </c>
      <c r="Y41" s="65">
        <f>3000/1970</f>
        <v>1.5228426395939085</v>
      </c>
      <c r="Z41" s="65">
        <f>X41*0.06</f>
        <v>10.98967296</v>
      </c>
      <c r="AA41" s="65">
        <f>X41*0.07</f>
        <v>12.821285120000001</v>
      </c>
      <c r="AB41" s="65">
        <f>X41+Y41+Z41+AA41</f>
        <v>208.49501671959391</v>
      </c>
      <c r="AC41" s="12">
        <f>AB41*0.302</f>
        <v>62.965495049317354</v>
      </c>
      <c r="AD41" s="12"/>
      <c r="AE41" s="65">
        <f>AB41*1.013*0.05</f>
        <v>10.560272596847431</v>
      </c>
      <c r="AF41" s="12"/>
      <c r="AG41" s="12"/>
      <c r="AH41" s="35"/>
      <c r="AI41" s="66"/>
      <c r="AJ41" s="66"/>
      <c r="AK41" s="66"/>
      <c r="AL41" s="65">
        <f t="shared" si="40"/>
        <v>0</v>
      </c>
      <c r="AM41" s="65">
        <f>AG41*AL41</f>
        <v>0</v>
      </c>
      <c r="AN41" s="12"/>
      <c r="AO41" s="12"/>
      <c r="AP41" s="12"/>
      <c r="AQ41" s="65"/>
      <c r="AR41" s="35"/>
      <c r="AS41" s="35"/>
      <c r="AT41" s="35"/>
      <c r="AU41" s="35"/>
      <c r="AV41" s="35"/>
      <c r="AW41" s="67"/>
      <c r="AX41" s="35">
        <v>48.62</v>
      </c>
      <c r="AY41" s="12">
        <v>17.510000000000002</v>
      </c>
      <c r="AZ41" s="12"/>
      <c r="BA41" s="12">
        <v>5.19</v>
      </c>
      <c r="BB41" s="12"/>
      <c r="BC41" s="169">
        <f t="shared" si="22"/>
        <v>342.78051176891125</v>
      </c>
      <c r="BD41" s="165">
        <f>AB41*0.2</f>
        <v>41.699003343918783</v>
      </c>
      <c r="BE41" s="169">
        <f>BC41+AE41+BD41</f>
        <v>395.03978770967746</v>
      </c>
      <c r="BF41" s="172">
        <f t="shared" si="9"/>
        <v>342.78051176891125</v>
      </c>
    </row>
    <row r="42" spans="1:58" ht="47.25">
      <c r="A42" s="28"/>
      <c r="B42" s="20" t="s">
        <v>155</v>
      </c>
      <c r="C42" s="7"/>
      <c r="D42" s="20" t="s">
        <v>119</v>
      </c>
      <c r="E42" s="40">
        <v>5</v>
      </c>
      <c r="F42" s="35">
        <v>77.14</v>
      </c>
      <c r="G42" s="12">
        <v>6</v>
      </c>
      <c r="H42" s="35">
        <f>F42*G42/100</f>
        <v>4.6284000000000001</v>
      </c>
      <c r="I42" s="12"/>
      <c r="J42" s="35">
        <f>F42*I42/100</f>
        <v>0</v>
      </c>
      <c r="K42" s="12"/>
      <c r="L42" s="35">
        <f>F42*K42/100</f>
        <v>0</v>
      </c>
      <c r="M42" s="12"/>
      <c r="N42" s="12"/>
      <c r="O42" s="35">
        <f>F42*N42/100</f>
        <v>0</v>
      </c>
      <c r="P42" s="12"/>
      <c r="Q42" s="35"/>
      <c r="R42" s="35">
        <v>40</v>
      </c>
      <c r="S42" s="35">
        <f>(F42+H42+J42+L42+M42+O42+Q42)*R42/100</f>
        <v>32.707360000000001</v>
      </c>
      <c r="T42" s="35">
        <v>30</v>
      </c>
      <c r="U42" s="35">
        <f>(F42+H42+J42+L42+M42+O42+Q42+S42)*30/100</f>
        <v>34.342728000000001</v>
      </c>
      <c r="V42" s="35">
        <v>30</v>
      </c>
      <c r="W42" s="35">
        <f>U42</f>
        <v>34.342728000000001</v>
      </c>
      <c r="X42" s="12">
        <f>F42+H42+J42+L42+M42+O42+Q42+S42+U42+W42</f>
        <v>183.161216</v>
      </c>
      <c r="Y42" s="65">
        <f>3000/1970</f>
        <v>1.5228426395939085</v>
      </c>
      <c r="Z42" s="65">
        <f>X42*0.06</f>
        <v>10.98967296</v>
      </c>
      <c r="AA42" s="65">
        <f>X42*0.07</f>
        <v>12.821285120000001</v>
      </c>
      <c r="AB42" s="65">
        <f>X42+Y42+Z42+AA42</f>
        <v>208.49501671959391</v>
      </c>
      <c r="AC42" s="12">
        <f>AB42*0.302</f>
        <v>62.965495049317354</v>
      </c>
      <c r="AD42" s="12">
        <f>AB42*0.268</f>
        <v>55.876664480851169</v>
      </c>
      <c r="AE42" s="65">
        <f>AB42*1.013*0.05</f>
        <v>10.560272596847431</v>
      </c>
      <c r="AF42" s="12"/>
      <c r="AG42" s="12"/>
      <c r="AH42" s="35"/>
      <c r="AI42" s="66"/>
      <c r="AJ42" s="66"/>
      <c r="AK42" s="66"/>
      <c r="AL42" s="65">
        <f t="shared" si="40"/>
        <v>0</v>
      </c>
      <c r="AM42" s="65">
        <f>AG42*AL42</f>
        <v>0</v>
      </c>
      <c r="AN42" s="12"/>
      <c r="AO42" s="12"/>
      <c r="AP42" s="12"/>
      <c r="AQ42" s="65"/>
      <c r="AR42" s="35"/>
      <c r="AS42" s="35"/>
      <c r="AT42" s="35"/>
      <c r="AU42" s="35"/>
      <c r="AV42" s="35"/>
      <c r="AW42" s="67"/>
      <c r="AX42" s="35">
        <v>48.62</v>
      </c>
      <c r="AY42" s="12">
        <v>17.510000000000002</v>
      </c>
      <c r="AZ42" s="12"/>
      <c r="BA42" s="12">
        <v>5.19</v>
      </c>
      <c r="BB42" s="31">
        <v>1395.24</v>
      </c>
      <c r="BC42" s="169">
        <f t="shared" si="22"/>
        <v>1793.8971762497624</v>
      </c>
      <c r="BD42" s="165">
        <f>AB42*0.2</f>
        <v>41.699003343918783</v>
      </c>
      <c r="BE42" s="169">
        <f>BC42+AE42+BD42</f>
        <v>1846.1564521905286</v>
      </c>
      <c r="BF42" s="172">
        <f t="shared" si="9"/>
        <v>1738.0205117689113</v>
      </c>
    </row>
    <row r="43" spans="1:58" ht="31.5">
      <c r="A43" s="28" t="s">
        <v>54</v>
      </c>
      <c r="B43" s="20" t="s">
        <v>128</v>
      </c>
      <c r="C43" s="7"/>
      <c r="D43" s="10"/>
      <c r="E43" s="40"/>
      <c r="F43" s="41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12"/>
      <c r="Y43" s="65">
        <f>3000/1970</f>
        <v>1.5228426395939085</v>
      </c>
      <c r="Z43" s="65">
        <f>X43*0.06</f>
        <v>0</v>
      </c>
      <c r="AA43" s="65">
        <f>X43*0.07</f>
        <v>0</v>
      </c>
      <c r="AB43" s="65">
        <f>X43+Y43+Z43+AA43</f>
        <v>1.5228426395939085</v>
      </c>
      <c r="AC43" s="12"/>
      <c r="AD43" s="12"/>
      <c r="AE43" s="65"/>
      <c r="AF43" s="12"/>
      <c r="AG43" s="12"/>
      <c r="AH43" s="35"/>
      <c r="AI43" s="66"/>
      <c r="AJ43" s="66"/>
      <c r="AK43" s="66"/>
      <c r="AL43" s="65"/>
      <c r="AM43" s="65"/>
      <c r="AN43" s="12"/>
      <c r="AO43" s="12"/>
      <c r="AP43" s="12"/>
      <c r="AQ43" s="65"/>
      <c r="AR43" s="35"/>
      <c r="AS43" s="35"/>
      <c r="AT43" s="35"/>
      <c r="AU43" s="35"/>
      <c r="AV43" s="35"/>
      <c r="AW43" s="67"/>
      <c r="AX43" s="35"/>
      <c r="AY43" s="12"/>
      <c r="AZ43" s="12"/>
      <c r="BA43" s="12"/>
      <c r="BB43" s="12"/>
      <c r="BC43" s="169"/>
      <c r="BD43" s="165"/>
      <c r="BE43" s="169"/>
      <c r="BF43" s="172"/>
    </row>
    <row r="44" spans="1:58" ht="47.25">
      <c r="A44" s="28"/>
      <c r="B44" s="20" t="s">
        <v>149</v>
      </c>
      <c r="C44" s="7"/>
      <c r="D44" s="20" t="s">
        <v>119</v>
      </c>
      <c r="E44" s="40">
        <v>5</v>
      </c>
      <c r="F44" s="35">
        <v>77.14</v>
      </c>
      <c r="G44" s="12">
        <v>6</v>
      </c>
      <c r="H44" s="35">
        <f>F44*G44/100</f>
        <v>4.6284000000000001</v>
      </c>
      <c r="I44" s="12"/>
      <c r="J44" s="35">
        <f>F44*I44/100</f>
        <v>0</v>
      </c>
      <c r="K44" s="12"/>
      <c r="L44" s="35">
        <f>F44*K44/100</f>
        <v>0</v>
      </c>
      <c r="M44" s="12"/>
      <c r="N44" s="12"/>
      <c r="O44" s="35">
        <f>F44*N44/100</f>
        <v>0</v>
      </c>
      <c r="P44" s="12"/>
      <c r="Q44" s="35"/>
      <c r="R44" s="35">
        <v>40</v>
      </c>
      <c r="S44" s="35">
        <f>(F44+H44+J44+L44+M44+O44+Q44)*R44/100</f>
        <v>32.707360000000001</v>
      </c>
      <c r="T44" s="35">
        <v>30</v>
      </c>
      <c r="U44" s="35">
        <f>(F44+H44+J44+L44+M44+O44+Q44+S44)*30/100</f>
        <v>34.342728000000001</v>
      </c>
      <c r="V44" s="35">
        <v>30</v>
      </c>
      <c r="W44" s="35">
        <f>U44</f>
        <v>34.342728000000001</v>
      </c>
      <c r="X44" s="12">
        <f>F44+H44+J44+L44+M44+O44+Q44+S44+U44+W44</f>
        <v>183.161216</v>
      </c>
      <c r="Y44" s="65">
        <f>3000/1970</f>
        <v>1.5228426395939085</v>
      </c>
      <c r="Z44" s="65">
        <f>X44*0.06</f>
        <v>10.98967296</v>
      </c>
      <c r="AA44" s="65">
        <f>X44*0.07</f>
        <v>12.821285120000001</v>
      </c>
      <c r="AB44" s="65">
        <f>X44+Y44+Z44+AA44</f>
        <v>208.49501671959391</v>
      </c>
      <c r="AC44" s="12">
        <f>AB44*0.302</f>
        <v>62.965495049317354</v>
      </c>
      <c r="AD44" s="12"/>
      <c r="AE44" s="65">
        <f>AB44*1.013*0.05</f>
        <v>10.560272596847431</v>
      </c>
      <c r="AF44" s="12"/>
      <c r="AG44" s="12"/>
      <c r="AH44" s="35"/>
      <c r="AI44" s="66"/>
      <c r="AJ44" s="66"/>
      <c r="AK44" s="66"/>
      <c r="AL44" s="65">
        <f t="shared" si="40"/>
        <v>0</v>
      </c>
      <c r="AM44" s="65">
        <f>AG44*AL44</f>
        <v>0</v>
      </c>
      <c r="AN44" s="12"/>
      <c r="AO44" s="12"/>
      <c r="AP44" s="12"/>
      <c r="AQ44" s="65"/>
      <c r="AR44" s="35"/>
      <c r="AS44" s="35"/>
      <c r="AT44" s="35"/>
      <c r="AU44" s="35"/>
      <c r="AV44" s="35"/>
      <c r="AW44" s="67"/>
      <c r="AX44" s="35">
        <v>48.62</v>
      </c>
      <c r="AY44" s="12">
        <v>17.510000000000002</v>
      </c>
      <c r="AZ44" s="12"/>
      <c r="BA44" s="12">
        <v>5.19</v>
      </c>
      <c r="BB44" s="12"/>
      <c r="BC44" s="169">
        <f t="shared" si="22"/>
        <v>342.78051176891125</v>
      </c>
      <c r="BD44" s="165">
        <f>AB44*0.2</f>
        <v>41.699003343918783</v>
      </c>
      <c r="BE44" s="169">
        <f>BC44+AE44+BD44</f>
        <v>395.03978770967746</v>
      </c>
      <c r="BF44" s="172">
        <f t="shared" ref="BF44:BF62" si="41">BC44-AD44</f>
        <v>342.78051176891125</v>
      </c>
    </row>
    <row r="45" spans="1:58" ht="47.25">
      <c r="A45" s="28"/>
      <c r="B45" s="20" t="s">
        <v>155</v>
      </c>
      <c r="C45" s="7"/>
      <c r="D45" s="20" t="s">
        <v>119</v>
      </c>
      <c r="E45" s="40">
        <v>5</v>
      </c>
      <c r="F45" s="35">
        <v>77.14</v>
      </c>
      <c r="G45" s="12">
        <v>6</v>
      </c>
      <c r="H45" s="35">
        <f>F45*G45/100</f>
        <v>4.6284000000000001</v>
      </c>
      <c r="I45" s="12"/>
      <c r="J45" s="35">
        <f>F45*I45/100</f>
        <v>0</v>
      </c>
      <c r="K45" s="12"/>
      <c r="L45" s="35">
        <f>F45*K45/100</f>
        <v>0</v>
      </c>
      <c r="M45" s="12"/>
      <c r="N45" s="12"/>
      <c r="O45" s="35">
        <f>F45*N45/100</f>
        <v>0</v>
      </c>
      <c r="P45" s="12"/>
      <c r="Q45" s="35"/>
      <c r="R45" s="35">
        <v>40</v>
      </c>
      <c r="S45" s="35">
        <f>(F45+H45+J45+L45+M45+O45+Q45)*R45/100</f>
        <v>32.707360000000001</v>
      </c>
      <c r="T45" s="35">
        <v>30</v>
      </c>
      <c r="U45" s="35">
        <f>(F45+H45+J45+L45+M45+O45+Q45+S45)*30/100</f>
        <v>34.342728000000001</v>
      </c>
      <c r="V45" s="35">
        <v>30</v>
      </c>
      <c r="W45" s="35">
        <f>U45</f>
        <v>34.342728000000001</v>
      </c>
      <c r="X45" s="12">
        <f>F45+H45+J45+L45+M45+O45+Q45+S45+U45+W45</f>
        <v>183.161216</v>
      </c>
      <c r="Y45" s="65">
        <f>3000/1970</f>
        <v>1.5228426395939085</v>
      </c>
      <c r="Z45" s="65">
        <f>X45*0.06</f>
        <v>10.98967296</v>
      </c>
      <c r="AA45" s="65">
        <f>X45*0.07</f>
        <v>12.821285120000001</v>
      </c>
      <c r="AB45" s="65">
        <f>X45+Y45+Z45+AA45</f>
        <v>208.49501671959391</v>
      </c>
      <c r="AC45" s="12">
        <f>AB45*0.302</f>
        <v>62.965495049317354</v>
      </c>
      <c r="AD45" s="12">
        <f>AB45*0.268</f>
        <v>55.876664480851169</v>
      </c>
      <c r="AE45" s="65">
        <f>AB45*1.013*0.05</f>
        <v>10.560272596847431</v>
      </c>
      <c r="AF45" s="12"/>
      <c r="AG45" s="12"/>
      <c r="AH45" s="35"/>
      <c r="AI45" s="66"/>
      <c r="AJ45" s="66"/>
      <c r="AK45" s="66"/>
      <c r="AL45" s="65">
        <f t="shared" si="40"/>
        <v>0</v>
      </c>
      <c r="AM45" s="65">
        <f>AG45*AL45</f>
        <v>0</v>
      </c>
      <c r="AN45" s="12"/>
      <c r="AO45" s="12"/>
      <c r="AP45" s="12"/>
      <c r="AQ45" s="65"/>
      <c r="AR45" s="35"/>
      <c r="AS45" s="35"/>
      <c r="AT45" s="35"/>
      <c r="AU45" s="35"/>
      <c r="AV45" s="35"/>
      <c r="AW45" s="67"/>
      <c r="AX45" s="35">
        <v>48.62</v>
      </c>
      <c r="AY45" s="12">
        <v>17.510000000000002</v>
      </c>
      <c r="AZ45" s="12"/>
      <c r="BA45" s="12">
        <v>5.19</v>
      </c>
      <c r="BB45" s="31">
        <v>1395.24</v>
      </c>
      <c r="BC45" s="169">
        <f t="shared" si="22"/>
        <v>1793.8971762497624</v>
      </c>
      <c r="BD45" s="165">
        <f>AB45*0.2</f>
        <v>41.699003343918783</v>
      </c>
      <c r="BE45" s="169">
        <f>BC45+AE45+BD45</f>
        <v>1846.1564521905286</v>
      </c>
      <c r="BF45" s="172">
        <f t="shared" si="41"/>
        <v>1738.0205117689113</v>
      </c>
    </row>
    <row r="46" spans="1:58" ht="47.25">
      <c r="A46" s="28" t="s">
        <v>55</v>
      </c>
      <c r="B46" s="20" t="s">
        <v>129</v>
      </c>
      <c r="C46" s="7"/>
      <c r="D46" s="10"/>
      <c r="E46" s="40"/>
      <c r="F46" s="41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  <c r="AB46" s="12"/>
      <c r="AC46" s="12"/>
      <c r="AD46" s="12"/>
      <c r="AE46" s="65"/>
      <c r="AF46" s="12"/>
      <c r="AG46" s="12"/>
      <c r="AH46" s="35"/>
      <c r="AI46" s="66"/>
      <c r="AJ46" s="66"/>
      <c r="AK46" s="66"/>
      <c r="AL46" s="65"/>
      <c r="AM46" s="65"/>
      <c r="AN46" s="12"/>
      <c r="AO46" s="12"/>
      <c r="AP46" s="12"/>
      <c r="AQ46" s="65"/>
      <c r="AR46" s="35"/>
      <c r="AS46" s="35"/>
      <c r="AT46" s="35"/>
      <c r="AU46" s="35"/>
      <c r="AV46" s="35"/>
      <c r="AW46" s="67"/>
      <c r="AX46" s="35"/>
      <c r="AY46" s="12"/>
      <c r="AZ46" s="12"/>
      <c r="BA46" s="12"/>
      <c r="BB46" s="12"/>
      <c r="BC46" s="169"/>
      <c r="BD46" s="165"/>
      <c r="BE46" s="169"/>
      <c r="BF46" s="172"/>
    </row>
    <row r="47" spans="1:58" ht="47.25">
      <c r="A47" s="28"/>
      <c r="B47" s="20" t="s">
        <v>149</v>
      </c>
      <c r="C47" s="7"/>
      <c r="D47" s="20" t="s">
        <v>119</v>
      </c>
      <c r="E47" s="40">
        <v>5</v>
      </c>
      <c r="F47" s="35">
        <v>77.14</v>
      </c>
      <c r="G47" s="12">
        <v>6</v>
      </c>
      <c r="H47" s="35">
        <f>F47*G47/100</f>
        <v>4.6284000000000001</v>
      </c>
      <c r="I47" s="12"/>
      <c r="J47" s="35">
        <f>F47*I47/100</f>
        <v>0</v>
      </c>
      <c r="K47" s="12"/>
      <c r="L47" s="35">
        <f>F47*K47/100</f>
        <v>0</v>
      </c>
      <c r="M47" s="12"/>
      <c r="N47" s="12"/>
      <c r="O47" s="35">
        <f>F47*N47/100</f>
        <v>0</v>
      </c>
      <c r="P47" s="12"/>
      <c r="Q47" s="35"/>
      <c r="R47" s="35">
        <v>40</v>
      </c>
      <c r="S47" s="35">
        <f>(F47+H47+J47+L47+M47+O47+Q47)*R47/100</f>
        <v>32.707360000000001</v>
      </c>
      <c r="T47" s="35">
        <v>30</v>
      </c>
      <c r="U47" s="35">
        <f>(F47+H47+J47+L47+M47+O47+Q47+S47)*30/100</f>
        <v>34.342728000000001</v>
      </c>
      <c r="V47" s="35">
        <v>30</v>
      </c>
      <c r="W47" s="35">
        <f>U47</f>
        <v>34.342728000000001</v>
      </c>
      <c r="X47" s="12">
        <f>F47+H47+J47+L47+M47+O47+Q47+S47+U47+W47</f>
        <v>183.161216</v>
      </c>
      <c r="Y47" s="65">
        <f>3000/1970</f>
        <v>1.5228426395939085</v>
      </c>
      <c r="Z47" s="65">
        <f>X47*0.06</f>
        <v>10.98967296</v>
      </c>
      <c r="AA47" s="65">
        <f>X47*0.07</f>
        <v>12.821285120000001</v>
      </c>
      <c r="AB47" s="65">
        <f>X47+Y47+Z47+AA47</f>
        <v>208.49501671959391</v>
      </c>
      <c r="AC47" s="12">
        <f>AB47*0.302</f>
        <v>62.965495049317354</v>
      </c>
      <c r="AD47" s="12"/>
      <c r="AE47" s="65">
        <f>AB47*1.013*0.05</f>
        <v>10.560272596847431</v>
      </c>
      <c r="AF47" s="12"/>
      <c r="AG47" s="12"/>
      <c r="AH47" s="35"/>
      <c r="AI47" s="66"/>
      <c r="AJ47" s="66"/>
      <c r="AK47" s="66"/>
      <c r="AL47" s="65">
        <f t="shared" si="40"/>
        <v>0</v>
      </c>
      <c r="AM47" s="65">
        <f>AG47*AL47</f>
        <v>0</v>
      </c>
      <c r="AN47" s="12"/>
      <c r="AO47" s="12"/>
      <c r="AP47" s="12"/>
      <c r="AQ47" s="65"/>
      <c r="AR47" s="35"/>
      <c r="AS47" s="35"/>
      <c r="AT47" s="35"/>
      <c r="AU47" s="35"/>
      <c r="AV47" s="35"/>
      <c r="AW47" s="67"/>
      <c r="AX47" s="35">
        <v>48.62</v>
      </c>
      <c r="AY47" s="12">
        <v>17.510000000000002</v>
      </c>
      <c r="AZ47" s="12">
        <v>49.18</v>
      </c>
      <c r="BA47" s="12">
        <v>5.19</v>
      </c>
      <c r="BB47" s="12"/>
      <c r="BC47" s="169">
        <f t="shared" si="22"/>
        <v>391.96051176891126</v>
      </c>
      <c r="BD47" s="165">
        <f>AB47*0.2</f>
        <v>41.699003343918783</v>
      </c>
      <c r="BE47" s="169">
        <f>BC47+AE47+BD47</f>
        <v>444.21978770967746</v>
      </c>
      <c r="BF47" s="172">
        <f t="shared" si="41"/>
        <v>391.96051176891126</v>
      </c>
    </row>
    <row r="48" spans="1:58" ht="47.25">
      <c r="A48" s="28"/>
      <c r="B48" s="20" t="s">
        <v>155</v>
      </c>
      <c r="C48" s="7"/>
      <c r="D48" s="20" t="s">
        <v>119</v>
      </c>
      <c r="E48" s="40">
        <v>5</v>
      </c>
      <c r="F48" s="35">
        <v>77.14</v>
      </c>
      <c r="G48" s="12">
        <v>6</v>
      </c>
      <c r="H48" s="35">
        <f>F48*G48/100</f>
        <v>4.6284000000000001</v>
      </c>
      <c r="I48" s="12"/>
      <c r="J48" s="35">
        <f>F48*I48/100</f>
        <v>0</v>
      </c>
      <c r="K48" s="12"/>
      <c r="L48" s="35">
        <f>F48*K48/100</f>
        <v>0</v>
      </c>
      <c r="M48" s="12"/>
      <c r="N48" s="12"/>
      <c r="O48" s="35">
        <f>F48*N48/100</f>
        <v>0</v>
      </c>
      <c r="P48" s="12"/>
      <c r="Q48" s="35"/>
      <c r="R48" s="35">
        <v>40</v>
      </c>
      <c r="S48" s="35">
        <f>(F48+H48+J48+L48+M48+O48+Q48)*R48/100</f>
        <v>32.707360000000001</v>
      </c>
      <c r="T48" s="35">
        <v>30</v>
      </c>
      <c r="U48" s="35">
        <f>(F48+H48+J48+L48+M48+O48+Q48+S48)*30/100</f>
        <v>34.342728000000001</v>
      </c>
      <c r="V48" s="35">
        <v>30</v>
      </c>
      <c r="W48" s="35">
        <f>U48</f>
        <v>34.342728000000001</v>
      </c>
      <c r="X48" s="12">
        <f>F48+H48+J48+L48+M48+O48+Q48+S48+U48+W48</f>
        <v>183.161216</v>
      </c>
      <c r="Y48" s="65">
        <f>3000/1970</f>
        <v>1.5228426395939085</v>
      </c>
      <c r="Z48" s="65">
        <f>X48*0.06</f>
        <v>10.98967296</v>
      </c>
      <c r="AA48" s="65">
        <f>X48*0.07</f>
        <v>12.821285120000001</v>
      </c>
      <c r="AB48" s="65">
        <f>X48+Y48+Z48+AA48</f>
        <v>208.49501671959391</v>
      </c>
      <c r="AC48" s="12">
        <f>AB48*0.302</f>
        <v>62.965495049317354</v>
      </c>
      <c r="AD48" s="12">
        <f>AB48*0.268</f>
        <v>55.876664480851169</v>
      </c>
      <c r="AE48" s="65">
        <f>AB48*1.013*0.05</f>
        <v>10.560272596847431</v>
      </c>
      <c r="AF48" s="12"/>
      <c r="AG48" s="12"/>
      <c r="AH48" s="35"/>
      <c r="AI48" s="66"/>
      <c r="AJ48" s="66"/>
      <c r="AK48" s="66"/>
      <c r="AL48" s="65">
        <f t="shared" si="40"/>
        <v>0</v>
      </c>
      <c r="AM48" s="65">
        <f>AG48*AL48</f>
        <v>0</v>
      </c>
      <c r="AN48" s="12"/>
      <c r="AO48" s="12"/>
      <c r="AP48" s="12"/>
      <c r="AQ48" s="65"/>
      <c r="AR48" s="35"/>
      <c r="AS48" s="35"/>
      <c r="AT48" s="35"/>
      <c r="AU48" s="35"/>
      <c r="AV48" s="35"/>
      <c r="AW48" s="67"/>
      <c r="AX48" s="35">
        <v>48.62</v>
      </c>
      <c r="AY48" s="12">
        <v>17.510000000000002</v>
      </c>
      <c r="AZ48" s="12"/>
      <c r="BA48" s="12">
        <v>5.19</v>
      </c>
      <c r="BB48" s="31">
        <v>1395.24</v>
      </c>
      <c r="BC48" s="169">
        <f t="shared" si="22"/>
        <v>1793.8971762497624</v>
      </c>
      <c r="BD48" s="165">
        <f>AB48*0.2</f>
        <v>41.699003343918783</v>
      </c>
      <c r="BE48" s="169">
        <f>BC48+AE48+BD48</f>
        <v>1846.1564521905286</v>
      </c>
      <c r="BF48" s="172">
        <f t="shared" si="41"/>
        <v>1738.0205117689113</v>
      </c>
    </row>
    <row r="49" spans="1:58" ht="47.25">
      <c r="A49" s="28" t="s">
        <v>56</v>
      </c>
      <c r="B49" s="20" t="s">
        <v>130</v>
      </c>
      <c r="C49" s="7"/>
      <c r="D49" s="10"/>
      <c r="E49" s="40"/>
      <c r="F49" s="4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12"/>
      <c r="Y49" s="12"/>
      <c r="Z49" s="12"/>
      <c r="AA49" s="12"/>
      <c r="AB49" s="12"/>
      <c r="AC49" s="12"/>
      <c r="AD49" s="12"/>
      <c r="AE49" s="65"/>
      <c r="AF49" s="12"/>
      <c r="AG49" s="12"/>
      <c r="AH49" s="35"/>
      <c r="AI49" s="66"/>
      <c r="AJ49" s="66"/>
      <c r="AK49" s="66"/>
      <c r="AL49" s="65"/>
      <c r="AM49" s="65"/>
      <c r="AN49" s="12"/>
      <c r="AO49" s="12"/>
      <c r="AP49" s="12"/>
      <c r="AQ49" s="65"/>
      <c r="AR49" s="35"/>
      <c r="AS49" s="35"/>
      <c r="AT49" s="35"/>
      <c r="AU49" s="35"/>
      <c r="AV49" s="35"/>
      <c r="AW49" s="67"/>
      <c r="AX49" s="35"/>
      <c r="AY49" s="12"/>
      <c r="AZ49" s="12"/>
      <c r="BA49" s="12"/>
      <c r="BB49" s="12"/>
      <c r="BC49" s="169"/>
      <c r="BD49" s="165"/>
      <c r="BE49" s="169"/>
      <c r="BF49" s="172"/>
    </row>
    <row r="50" spans="1:58" ht="47.25">
      <c r="A50" s="28"/>
      <c r="B50" s="20" t="s">
        <v>149</v>
      </c>
      <c r="C50" s="7"/>
      <c r="D50" s="20" t="s">
        <v>119</v>
      </c>
      <c r="E50" s="40">
        <v>5</v>
      </c>
      <c r="F50" s="35">
        <v>77.14</v>
      </c>
      <c r="G50" s="12">
        <v>6</v>
      </c>
      <c r="H50" s="35">
        <f>F50*G50/100</f>
        <v>4.6284000000000001</v>
      </c>
      <c r="I50" s="12"/>
      <c r="J50" s="35">
        <f>F50*I50/100</f>
        <v>0</v>
      </c>
      <c r="K50" s="12"/>
      <c r="L50" s="35">
        <f>F50*K50/100</f>
        <v>0</v>
      </c>
      <c r="M50" s="12"/>
      <c r="N50" s="12"/>
      <c r="O50" s="35">
        <f>F50*N50/100</f>
        <v>0</v>
      </c>
      <c r="P50" s="12"/>
      <c r="Q50" s="35"/>
      <c r="R50" s="35">
        <v>40</v>
      </c>
      <c r="S50" s="35">
        <f>(F50+H50+J50+L50+M50+O50+Q50)*R50/100</f>
        <v>32.707360000000001</v>
      </c>
      <c r="T50" s="35">
        <v>30</v>
      </c>
      <c r="U50" s="35">
        <f>(F50+H50+J50+L50+M50+O50+Q50+S50)*30/100</f>
        <v>34.342728000000001</v>
      </c>
      <c r="V50" s="35">
        <v>30</v>
      </c>
      <c r="W50" s="35">
        <f>U50</f>
        <v>34.342728000000001</v>
      </c>
      <c r="X50" s="12">
        <f>F50+H50+J50+L50+M50+O50+Q50+S50+U50+W50</f>
        <v>183.161216</v>
      </c>
      <c r="Y50" s="65">
        <f>3000/1970</f>
        <v>1.5228426395939085</v>
      </c>
      <c r="Z50" s="65">
        <f>X50*0.06</f>
        <v>10.98967296</v>
      </c>
      <c r="AA50" s="65">
        <f>X50*0.07</f>
        <v>12.821285120000001</v>
      </c>
      <c r="AB50" s="65">
        <f>X50+Y50+Z50+AA50</f>
        <v>208.49501671959391</v>
      </c>
      <c r="AC50" s="12">
        <f>AB50*0.302</f>
        <v>62.965495049317354</v>
      </c>
      <c r="AD50" s="12"/>
      <c r="AE50" s="65">
        <f>AB50*1.013*0.05</f>
        <v>10.560272596847431</v>
      </c>
      <c r="AF50" s="12"/>
      <c r="AG50" s="12"/>
      <c r="AH50" s="35"/>
      <c r="AI50" s="66"/>
      <c r="AJ50" s="66"/>
      <c r="AK50" s="66"/>
      <c r="AL50" s="65">
        <f t="shared" si="40"/>
        <v>0</v>
      </c>
      <c r="AM50" s="65">
        <f>AG50*AL50</f>
        <v>0</v>
      </c>
      <c r="AN50" s="12"/>
      <c r="AO50" s="12"/>
      <c r="AP50" s="12"/>
      <c r="AQ50" s="65"/>
      <c r="AR50" s="35"/>
      <c r="AS50" s="35"/>
      <c r="AT50" s="35"/>
      <c r="AU50" s="35"/>
      <c r="AV50" s="35"/>
      <c r="AW50" s="67"/>
      <c r="AX50" s="35">
        <v>48.62</v>
      </c>
      <c r="AY50" s="12">
        <v>17.510000000000002</v>
      </c>
      <c r="AZ50" s="12"/>
      <c r="BA50" s="12">
        <v>5.19</v>
      </c>
      <c r="BB50" s="12"/>
      <c r="BC50" s="169">
        <f t="shared" si="22"/>
        <v>342.78051176891125</v>
      </c>
      <c r="BD50" s="165">
        <f>AB50*0.2</f>
        <v>41.699003343918783</v>
      </c>
      <c r="BE50" s="169">
        <f>BC50+AE50+BD50</f>
        <v>395.03978770967746</v>
      </c>
      <c r="BF50" s="172">
        <f t="shared" si="41"/>
        <v>342.78051176891125</v>
      </c>
    </row>
    <row r="51" spans="1:58" ht="47.25">
      <c r="A51" s="28"/>
      <c r="B51" s="20" t="s">
        <v>155</v>
      </c>
      <c r="C51" s="7"/>
      <c r="D51" s="20" t="s">
        <v>119</v>
      </c>
      <c r="E51" s="40">
        <v>5</v>
      </c>
      <c r="F51" s="35">
        <v>77.14</v>
      </c>
      <c r="G51" s="12">
        <v>6</v>
      </c>
      <c r="H51" s="35">
        <f>F51*G51/100</f>
        <v>4.6284000000000001</v>
      </c>
      <c r="I51" s="12"/>
      <c r="J51" s="35">
        <f>F51*I51/100</f>
        <v>0</v>
      </c>
      <c r="K51" s="12"/>
      <c r="L51" s="35">
        <f>F51*K51/100</f>
        <v>0</v>
      </c>
      <c r="M51" s="12"/>
      <c r="N51" s="12"/>
      <c r="O51" s="35">
        <f>F51*N51/100</f>
        <v>0</v>
      </c>
      <c r="P51" s="12"/>
      <c r="Q51" s="35"/>
      <c r="R51" s="35">
        <v>40</v>
      </c>
      <c r="S51" s="35">
        <f>(F51+H51+J51+L51+M51+O51+Q51)*R51/100</f>
        <v>32.707360000000001</v>
      </c>
      <c r="T51" s="35">
        <v>30</v>
      </c>
      <c r="U51" s="35">
        <f>(F51+H51+J51+L51+M51+O51+Q51+S51)*30/100</f>
        <v>34.342728000000001</v>
      </c>
      <c r="V51" s="35">
        <v>30</v>
      </c>
      <c r="W51" s="35">
        <f>U51</f>
        <v>34.342728000000001</v>
      </c>
      <c r="X51" s="12">
        <f>F51+H51+J51+L51+M51+O51+Q51+S51+U51+W51</f>
        <v>183.161216</v>
      </c>
      <c r="Y51" s="65">
        <f>3000/1970</f>
        <v>1.5228426395939085</v>
      </c>
      <c r="Z51" s="65">
        <f>X51*0.06</f>
        <v>10.98967296</v>
      </c>
      <c r="AA51" s="65">
        <f>X51*0.07</f>
        <v>12.821285120000001</v>
      </c>
      <c r="AB51" s="65">
        <f>X51+Y51+Z51+AA51</f>
        <v>208.49501671959391</v>
      </c>
      <c r="AC51" s="12">
        <f>AB51*0.302</f>
        <v>62.965495049317354</v>
      </c>
      <c r="AD51" s="12">
        <f>AB51*0.268</f>
        <v>55.876664480851169</v>
      </c>
      <c r="AE51" s="65">
        <f>AB51*1.013*0.05</f>
        <v>10.560272596847431</v>
      </c>
      <c r="AF51" s="12"/>
      <c r="AG51" s="12"/>
      <c r="AH51" s="35"/>
      <c r="AI51" s="66"/>
      <c r="AJ51" s="66"/>
      <c r="AK51" s="66"/>
      <c r="AL51" s="65">
        <f t="shared" si="40"/>
        <v>0</v>
      </c>
      <c r="AM51" s="65">
        <f>AG51*AL51</f>
        <v>0</v>
      </c>
      <c r="AN51" s="12"/>
      <c r="AO51" s="12"/>
      <c r="AP51" s="12"/>
      <c r="AQ51" s="65"/>
      <c r="AR51" s="35"/>
      <c r="AS51" s="35"/>
      <c r="AT51" s="35"/>
      <c r="AU51" s="35"/>
      <c r="AV51" s="35"/>
      <c r="AW51" s="67"/>
      <c r="AX51" s="35">
        <v>48.62</v>
      </c>
      <c r="AY51" s="12">
        <v>17.510000000000002</v>
      </c>
      <c r="AZ51" s="12"/>
      <c r="BA51" s="12">
        <v>5.19</v>
      </c>
      <c r="BB51" s="31">
        <v>1395.24</v>
      </c>
      <c r="BC51" s="169">
        <f t="shared" si="22"/>
        <v>1793.8971762497624</v>
      </c>
      <c r="BD51" s="165">
        <f>AB51*0.2</f>
        <v>41.699003343918783</v>
      </c>
      <c r="BE51" s="169">
        <f>BC51+AE51+BD51</f>
        <v>1846.1564521905286</v>
      </c>
      <c r="BF51" s="172">
        <f t="shared" si="41"/>
        <v>1738.0205117689113</v>
      </c>
    </row>
    <row r="52" spans="1:58" ht="47.25">
      <c r="A52" s="28" t="s">
        <v>57</v>
      </c>
      <c r="B52" s="20" t="s">
        <v>131</v>
      </c>
      <c r="C52" s="7"/>
      <c r="D52" s="20" t="s">
        <v>119</v>
      </c>
      <c r="E52" s="40">
        <v>5</v>
      </c>
      <c r="F52" s="35">
        <v>77.14</v>
      </c>
      <c r="G52" s="12">
        <v>6</v>
      </c>
      <c r="H52" s="35">
        <f>F52*G52/100</f>
        <v>4.6284000000000001</v>
      </c>
      <c r="I52" s="35"/>
      <c r="J52" s="35">
        <f>F52*I52/100</f>
        <v>0</v>
      </c>
      <c r="K52" s="35">
        <v>0</v>
      </c>
      <c r="L52" s="35">
        <f>F52*K52/100</f>
        <v>0</v>
      </c>
      <c r="M52" s="35">
        <v>0</v>
      </c>
      <c r="N52" s="35">
        <v>0</v>
      </c>
      <c r="O52" s="35">
        <f>F52*N52/100</f>
        <v>0</v>
      </c>
      <c r="P52" s="35"/>
      <c r="Q52" s="35"/>
      <c r="R52" s="35">
        <v>40</v>
      </c>
      <c r="S52" s="35">
        <f>(F52+H52+J52+L52+M52+O52+Q52)*R52/100</f>
        <v>32.707360000000001</v>
      </c>
      <c r="T52" s="35">
        <v>30</v>
      </c>
      <c r="U52" s="35">
        <f>(F52+H52+J52+L52+M52+O52+Q52+S52)*30/100</f>
        <v>34.342728000000001</v>
      </c>
      <c r="V52" s="35">
        <v>30</v>
      </c>
      <c r="W52" s="35">
        <f>U52</f>
        <v>34.342728000000001</v>
      </c>
      <c r="X52" s="12">
        <f>F52+H52+J52+L52+M52+O52+Q52+S52+U52+W52</f>
        <v>183.161216</v>
      </c>
      <c r="Y52" s="65">
        <f>3000/1970</f>
        <v>1.5228426395939085</v>
      </c>
      <c r="Z52" s="65">
        <f>X52*0.06</f>
        <v>10.98967296</v>
      </c>
      <c r="AA52" s="65">
        <f>X52*0.07</f>
        <v>12.821285120000001</v>
      </c>
      <c r="AB52" s="65">
        <f>X52+Y52+Z52+AA52</f>
        <v>208.49501671959391</v>
      </c>
      <c r="AC52" s="12">
        <f>AB52*0.302</f>
        <v>62.965495049317354</v>
      </c>
      <c r="AD52" s="12"/>
      <c r="AE52" s="65">
        <f>AB52*1.013*0.05</f>
        <v>10.560272596847431</v>
      </c>
      <c r="AF52" s="12" t="s">
        <v>25</v>
      </c>
      <c r="AG52" s="35">
        <v>26.58</v>
      </c>
      <c r="AH52" s="35">
        <v>3.4</v>
      </c>
      <c r="AI52" s="66">
        <f>AH52</f>
        <v>3.4</v>
      </c>
      <c r="AJ52" s="69"/>
      <c r="AK52" s="66">
        <f>AI52*1.15</f>
        <v>3.9099999999999997</v>
      </c>
      <c r="AL52" s="65">
        <f t="shared" si="40"/>
        <v>3.5274999999999999</v>
      </c>
      <c r="AM52" s="65">
        <f>AG52*AL52</f>
        <v>93.760949999999994</v>
      </c>
      <c r="AN52" s="12" t="s">
        <v>74</v>
      </c>
      <c r="AO52" s="12">
        <v>50.1</v>
      </c>
      <c r="AP52" s="12">
        <v>2.4</v>
      </c>
      <c r="AQ52" s="65">
        <f>AL52*AP52/100*AO52</f>
        <v>4.241466</v>
      </c>
      <c r="AR52" s="35">
        <v>50000</v>
      </c>
      <c r="AS52" s="35">
        <v>23</v>
      </c>
      <c r="AT52" s="10" t="s">
        <v>77</v>
      </c>
      <c r="AU52" s="10">
        <v>4422.03</v>
      </c>
      <c r="AV52" s="35">
        <v>2</v>
      </c>
      <c r="AW52" s="67">
        <f>AU52*AV52/AR52*AS52</f>
        <v>4.0682675999999995</v>
      </c>
      <c r="AX52" s="35">
        <v>48.62</v>
      </c>
      <c r="AY52" s="12">
        <v>17.510000000000002</v>
      </c>
      <c r="AZ52" s="12"/>
      <c r="BA52" s="12">
        <v>5.19</v>
      </c>
      <c r="BB52" s="12"/>
      <c r="BC52" s="169">
        <f t="shared" si="22"/>
        <v>444.85119536891125</v>
      </c>
      <c r="BD52" s="165">
        <f>AB52*0.2</f>
        <v>41.699003343918783</v>
      </c>
      <c r="BE52" s="169">
        <f>BC52+AE52+BD52</f>
        <v>497.11047130967745</v>
      </c>
      <c r="BF52" s="172">
        <f t="shared" si="41"/>
        <v>444.85119536891125</v>
      </c>
    </row>
    <row r="53" spans="1:58" ht="47.25">
      <c r="A53" s="28" t="s">
        <v>58</v>
      </c>
      <c r="B53" s="20" t="s">
        <v>132</v>
      </c>
      <c r="C53" s="7"/>
      <c r="D53" s="20" t="s">
        <v>119</v>
      </c>
      <c r="E53" s="40">
        <v>5</v>
      </c>
      <c r="F53" s="35">
        <v>77.14</v>
      </c>
      <c r="G53" s="12">
        <v>6</v>
      </c>
      <c r="H53" s="35">
        <f>F53*G53/100</f>
        <v>4.6284000000000001</v>
      </c>
      <c r="I53" s="12"/>
      <c r="J53" s="35">
        <f>F53*I53/100</f>
        <v>0</v>
      </c>
      <c r="K53" s="12"/>
      <c r="L53" s="35">
        <f>F53*K53/100</f>
        <v>0</v>
      </c>
      <c r="M53" s="12"/>
      <c r="N53" s="12"/>
      <c r="O53" s="35">
        <f>F53*N53/100</f>
        <v>0</v>
      </c>
      <c r="P53" s="12"/>
      <c r="Q53" s="35"/>
      <c r="R53" s="35">
        <v>40</v>
      </c>
      <c r="S53" s="35">
        <f>(F53+H53+J53+L53+M53+O53+Q53)*R53/100</f>
        <v>32.707360000000001</v>
      </c>
      <c r="T53" s="35">
        <v>30</v>
      </c>
      <c r="U53" s="35">
        <f>(F53+H53+J53+L53+M53+O53+Q53+S53)*30/100</f>
        <v>34.342728000000001</v>
      </c>
      <c r="V53" s="35">
        <v>30</v>
      </c>
      <c r="W53" s="35">
        <f>U53</f>
        <v>34.342728000000001</v>
      </c>
      <c r="X53" s="12">
        <f>F53+H53+J53+L53+M53+O53+Q53+S53+U53+W53</f>
        <v>183.161216</v>
      </c>
      <c r="Y53" s="65">
        <f>3000/1970</f>
        <v>1.5228426395939085</v>
      </c>
      <c r="Z53" s="65">
        <f>X53*0.06</f>
        <v>10.98967296</v>
      </c>
      <c r="AA53" s="65">
        <f>X53*0.07</f>
        <v>12.821285120000001</v>
      </c>
      <c r="AB53" s="65">
        <f>X53+Y53+Z53+AA53</f>
        <v>208.49501671959391</v>
      </c>
      <c r="AC53" s="12">
        <f>AB53*0.302</f>
        <v>62.965495049317354</v>
      </c>
      <c r="AD53" s="12"/>
      <c r="AE53" s="65">
        <f>AB53*1.013*0.05</f>
        <v>10.560272596847431</v>
      </c>
      <c r="AF53" s="9" t="s">
        <v>24</v>
      </c>
      <c r="AG53" s="9">
        <v>30.04</v>
      </c>
      <c r="AH53" s="35">
        <v>4.67</v>
      </c>
      <c r="AI53" s="66">
        <f>AH53</f>
        <v>4.67</v>
      </c>
      <c r="AJ53" s="66"/>
      <c r="AK53" s="66">
        <f>AI53*1.15</f>
        <v>5.3704999999999998</v>
      </c>
      <c r="AL53" s="65">
        <f t="shared" si="40"/>
        <v>4.8451250000000003</v>
      </c>
      <c r="AM53" s="65">
        <f>AG53*AL53</f>
        <v>145.54755500000002</v>
      </c>
      <c r="AN53" s="12" t="s">
        <v>74</v>
      </c>
      <c r="AO53" s="12">
        <v>50.1</v>
      </c>
      <c r="AP53" s="12">
        <v>2.4</v>
      </c>
      <c r="AQ53" s="65">
        <f>AL53*AP53/100*AO53</f>
        <v>5.8257783000000005</v>
      </c>
      <c r="AR53" s="35">
        <v>50000</v>
      </c>
      <c r="AS53" s="35">
        <v>23</v>
      </c>
      <c r="AT53" s="35"/>
      <c r="AU53" s="35"/>
      <c r="AV53" s="35"/>
      <c r="AW53" s="67"/>
      <c r="AX53" s="35">
        <v>48.62</v>
      </c>
      <c r="AY53" s="12">
        <v>17.510000000000002</v>
      </c>
      <c r="AZ53" s="12">
        <v>7.71</v>
      </c>
      <c r="BA53" s="12">
        <v>5.19</v>
      </c>
      <c r="BB53" s="12"/>
      <c r="BC53" s="169">
        <f t="shared" si="22"/>
        <v>501.86384506891125</v>
      </c>
      <c r="BD53" s="165">
        <f>AB53*0.2</f>
        <v>41.699003343918783</v>
      </c>
      <c r="BE53" s="169">
        <f>BC53+AE53+BD53</f>
        <v>554.12312100967745</v>
      </c>
      <c r="BF53" s="172">
        <f t="shared" si="41"/>
        <v>501.86384506891125</v>
      </c>
    </row>
    <row r="54" spans="1:58" ht="101.25" customHeight="1">
      <c r="A54" s="28" t="s">
        <v>59</v>
      </c>
      <c r="B54" s="20" t="s">
        <v>147</v>
      </c>
      <c r="C54" s="7"/>
      <c r="D54" s="10"/>
      <c r="E54" s="40"/>
      <c r="F54" s="41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12"/>
      <c r="Y54" s="12"/>
      <c r="Z54" s="12"/>
      <c r="AA54" s="12"/>
      <c r="AB54" s="12"/>
      <c r="AC54" s="12"/>
      <c r="AD54" s="12"/>
      <c r="AE54" s="65"/>
      <c r="AF54" s="12"/>
      <c r="AG54" s="12"/>
      <c r="AH54" s="35"/>
      <c r="AI54" s="66"/>
      <c r="AJ54" s="66"/>
      <c r="AK54" s="66"/>
      <c r="AL54" s="65"/>
      <c r="AM54" s="65"/>
      <c r="AN54" s="12"/>
      <c r="AO54" s="12"/>
      <c r="AP54" s="12"/>
      <c r="AQ54" s="65"/>
      <c r="AR54" s="35"/>
      <c r="AS54" s="35"/>
      <c r="AT54" s="35"/>
      <c r="AU54" s="35"/>
      <c r="AV54" s="35"/>
      <c r="AW54" s="67"/>
      <c r="AX54" s="35"/>
      <c r="AY54" s="12"/>
      <c r="AZ54" s="12"/>
      <c r="BA54" s="12"/>
      <c r="BB54" s="12"/>
      <c r="BC54" s="169"/>
      <c r="BD54" s="165"/>
      <c r="BE54" s="169"/>
      <c r="BF54" s="172"/>
    </row>
    <row r="55" spans="1:58" ht="78.75">
      <c r="A55" s="28"/>
      <c r="B55" s="20" t="s">
        <v>149</v>
      </c>
      <c r="C55" s="7"/>
      <c r="D55" s="10" t="s">
        <v>146</v>
      </c>
      <c r="E55" s="32">
        <v>5</v>
      </c>
      <c r="F55" s="41">
        <v>70.55</v>
      </c>
      <c r="G55" s="12">
        <v>4</v>
      </c>
      <c r="H55" s="35">
        <f t="shared" ref="H55:H62" si="42">F55*G55/100</f>
        <v>2.8220000000000001</v>
      </c>
      <c r="I55" s="12"/>
      <c r="J55" s="35">
        <f t="shared" ref="J55:J62" si="43">F55*I55/100</f>
        <v>0</v>
      </c>
      <c r="K55" s="12"/>
      <c r="L55" s="35">
        <f t="shared" ref="L55:L62" si="44">F55*K55/100</f>
        <v>0</v>
      </c>
      <c r="M55" s="12"/>
      <c r="N55" s="12"/>
      <c r="O55" s="35">
        <f t="shared" ref="O55:O62" si="45">F55*N55/100</f>
        <v>0</v>
      </c>
      <c r="P55" s="12"/>
      <c r="Q55" s="35"/>
      <c r="R55" s="35">
        <v>40</v>
      </c>
      <c r="S55" s="35">
        <f t="shared" ref="S55:S62" si="46">(F55+H55+J55+L55+M55+O55+Q55)*R55/100</f>
        <v>29.348800000000001</v>
      </c>
      <c r="T55" s="35">
        <v>30</v>
      </c>
      <c r="U55" s="35">
        <f t="shared" ref="U55:U62" si="47">(F55+H55+J55+L55+M55+O55+Q55+S55)*30/100</f>
        <v>30.816239999999997</v>
      </c>
      <c r="V55" s="35">
        <v>30</v>
      </c>
      <c r="W55" s="35">
        <f t="shared" ref="W55:W62" si="48">U55</f>
        <v>30.816239999999997</v>
      </c>
      <c r="X55" s="12">
        <f t="shared" ref="X55:X62" si="49">F55+H55+J55+L55+M55+O55+Q55+S55+U55+W55</f>
        <v>164.35327999999998</v>
      </c>
      <c r="Y55" s="65">
        <f t="shared" ref="Y55:Y62" si="50">3000/1970</f>
        <v>1.5228426395939085</v>
      </c>
      <c r="Z55" s="65">
        <f t="shared" ref="Z55:Z62" si="51">X55*0.06</f>
        <v>9.8611967999999983</v>
      </c>
      <c r="AA55" s="65">
        <f t="shared" ref="AA55:AA62" si="52">X55*0.07</f>
        <v>11.504729599999999</v>
      </c>
      <c r="AB55" s="65">
        <f t="shared" ref="AB55:AB62" si="53">X55+Y55+Z55+AA55</f>
        <v>187.24204903959387</v>
      </c>
      <c r="AC55" s="12">
        <f t="shared" ref="AC55:AC62" si="54">AB55*0.302</f>
        <v>56.547098809957347</v>
      </c>
      <c r="AD55" s="12"/>
      <c r="AE55" s="65">
        <f t="shared" ref="AE55:AE62" si="55">AB55*1.013*0.05</f>
        <v>9.4838097838554294</v>
      </c>
      <c r="AF55" s="12"/>
      <c r="AG55" s="12"/>
      <c r="AH55" s="35"/>
      <c r="AI55" s="66"/>
      <c r="AJ55" s="66"/>
      <c r="AK55" s="66"/>
      <c r="AL55" s="65">
        <f t="shared" si="40"/>
        <v>0</v>
      </c>
      <c r="AM55" s="65">
        <f t="shared" ref="AM55:AM62" si="56">AG55*AL55</f>
        <v>0</v>
      </c>
      <c r="AN55" s="12"/>
      <c r="AO55" s="12"/>
      <c r="AP55" s="12"/>
      <c r="AQ55" s="65"/>
      <c r="AR55" s="35"/>
      <c r="AS55" s="35"/>
      <c r="AT55" s="35"/>
      <c r="AU55" s="35"/>
      <c r="AV55" s="35"/>
      <c r="AW55" s="67"/>
      <c r="AX55" s="35">
        <v>48.62</v>
      </c>
      <c r="AY55" s="12">
        <v>17.510000000000002</v>
      </c>
      <c r="AZ55" s="12">
        <v>11.39</v>
      </c>
      <c r="BA55" s="12">
        <v>5.19</v>
      </c>
      <c r="BB55" s="12"/>
      <c r="BC55" s="169">
        <f t="shared" si="22"/>
        <v>326.49914784955121</v>
      </c>
      <c r="BD55" s="165">
        <f t="shared" ref="BD55:BD61" si="57">AB55*0.2</f>
        <v>37.448409807918772</v>
      </c>
      <c r="BE55" s="169">
        <f t="shared" ref="BE55:BE62" si="58">BC55+AE55+BD55</f>
        <v>373.43136744132539</v>
      </c>
      <c r="BF55" s="172">
        <f t="shared" si="41"/>
        <v>326.49914784955121</v>
      </c>
    </row>
    <row r="56" spans="1:58" ht="78.75">
      <c r="A56" s="28"/>
      <c r="B56" s="20" t="s">
        <v>214</v>
      </c>
      <c r="C56" s="7"/>
      <c r="D56" s="10" t="s">
        <v>146</v>
      </c>
      <c r="E56" s="32">
        <v>5</v>
      </c>
      <c r="F56" s="41">
        <v>70.55</v>
      </c>
      <c r="G56" s="12">
        <v>4</v>
      </c>
      <c r="H56" s="35">
        <f t="shared" si="42"/>
        <v>2.8220000000000001</v>
      </c>
      <c r="I56" s="12"/>
      <c r="J56" s="35">
        <f t="shared" si="43"/>
        <v>0</v>
      </c>
      <c r="K56" s="12"/>
      <c r="L56" s="35">
        <f t="shared" si="44"/>
        <v>0</v>
      </c>
      <c r="M56" s="12"/>
      <c r="N56" s="12"/>
      <c r="O56" s="35">
        <f t="shared" si="45"/>
        <v>0</v>
      </c>
      <c r="P56" s="12"/>
      <c r="Q56" s="35"/>
      <c r="R56" s="35">
        <v>40</v>
      </c>
      <c r="S56" s="35">
        <f t="shared" si="46"/>
        <v>29.348800000000001</v>
      </c>
      <c r="T56" s="35">
        <v>30</v>
      </c>
      <c r="U56" s="35">
        <f t="shared" si="47"/>
        <v>30.816239999999997</v>
      </c>
      <c r="V56" s="35">
        <v>30</v>
      </c>
      <c r="W56" s="35">
        <f t="shared" si="48"/>
        <v>30.816239999999997</v>
      </c>
      <c r="X56" s="12">
        <f t="shared" si="49"/>
        <v>164.35327999999998</v>
      </c>
      <c r="Y56" s="65">
        <f t="shared" si="50"/>
        <v>1.5228426395939085</v>
      </c>
      <c r="Z56" s="65">
        <f t="shared" si="51"/>
        <v>9.8611967999999983</v>
      </c>
      <c r="AA56" s="65">
        <f t="shared" si="52"/>
        <v>11.504729599999999</v>
      </c>
      <c r="AB56" s="65">
        <f t="shared" si="53"/>
        <v>187.24204903959387</v>
      </c>
      <c r="AC56" s="12">
        <f t="shared" si="54"/>
        <v>56.547098809957347</v>
      </c>
      <c r="AD56" s="12">
        <f>AB56*0.5267</f>
        <v>98.620387229154076</v>
      </c>
      <c r="AE56" s="65">
        <f t="shared" si="55"/>
        <v>9.4838097838554294</v>
      </c>
      <c r="AF56" s="12"/>
      <c r="AG56" s="12"/>
      <c r="AH56" s="35"/>
      <c r="AI56" s="66"/>
      <c r="AJ56" s="66"/>
      <c r="AK56" s="66"/>
      <c r="AL56" s="65">
        <f t="shared" si="40"/>
        <v>0</v>
      </c>
      <c r="AM56" s="65">
        <f t="shared" si="56"/>
        <v>0</v>
      </c>
      <c r="AN56" s="12"/>
      <c r="AO56" s="12"/>
      <c r="AP56" s="12"/>
      <c r="AQ56" s="65"/>
      <c r="AR56" s="35"/>
      <c r="AS56" s="35"/>
      <c r="AT56" s="35"/>
      <c r="AU56" s="35"/>
      <c r="AV56" s="35"/>
      <c r="AW56" s="67"/>
      <c r="AX56" s="35">
        <v>48.62</v>
      </c>
      <c r="AY56" s="12">
        <v>17.510000000000002</v>
      </c>
      <c r="AZ56" s="12">
        <v>11.39</v>
      </c>
      <c r="BA56" s="12">
        <v>5.19</v>
      </c>
      <c r="BB56" s="31">
        <v>713.09</v>
      </c>
      <c r="BC56" s="169">
        <f t="shared" si="22"/>
        <v>1138.2095350787054</v>
      </c>
      <c r="BD56" s="165">
        <f t="shared" si="57"/>
        <v>37.448409807918772</v>
      </c>
      <c r="BE56" s="169">
        <f t="shared" si="58"/>
        <v>1185.1417546704795</v>
      </c>
      <c r="BF56" s="172">
        <f t="shared" si="41"/>
        <v>1039.5891478495512</v>
      </c>
    </row>
    <row r="57" spans="1:58" ht="78.75">
      <c r="A57" s="28" t="s">
        <v>60</v>
      </c>
      <c r="B57" s="20" t="s">
        <v>133</v>
      </c>
      <c r="C57" s="7"/>
      <c r="D57" s="20" t="s">
        <v>119</v>
      </c>
      <c r="E57" s="40">
        <v>5</v>
      </c>
      <c r="F57" s="35">
        <v>77.14</v>
      </c>
      <c r="G57" s="12">
        <v>6</v>
      </c>
      <c r="H57" s="35">
        <f t="shared" si="42"/>
        <v>4.6284000000000001</v>
      </c>
      <c r="I57" s="12"/>
      <c r="J57" s="35">
        <f t="shared" si="43"/>
        <v>0</v>
      </c>
      <c r="K57" s="12"/>
      <c r="L57" s="35">
        <f t="shared" si="44"/>
        <v>0</v>
      </c>
      <c r="M57" s="12"/>
      <c r="N57" s="12"/>
      <c r="O57" s="35">
        <f t="shared" si="45"/>
        <v>0</v>
      </c>
      <c r="P57" s="12"/>
      <c r="Q57" s="35"/>
      <c r="R57" s="35">
        <v>40</v>
      </c>
      <c r="S57" s="35">
        <f t="shared" si="46"/>
        <v>32.707360000000001</v>
      </c>
      <c r="T57" s="35">
        <v>30</v>
      </c>
      <c r="U57" s="35">
        <f t="shared" si="47"/>
        <v>34.342728000000001</v>
      </c>
      <c r="V57" s="35">
        <v>30</v>
      </c>
      <c r="W57" s="35">
        <f t="shared" si="48"/>
        <v>34.342728000000001</v>
      </c>
      <c r="X57" s="12">
        <f t="shared" si="49"/>
        <v>183.161216</v>
      </c>
      <c r="Y57" s="65">
        <f t="shared" si="50"/>
        <v>1.5228426395939085</v>
      </c>
      <c r="Z57" s="65">
        <f t="shared" si="51"/>
        <v>10.98967296</v>
      </c>
      <c r="AA57" s="65">
        <f t="shared" si="52"/>
        <v>12.821285120000001</v>
      </c>
      <c r="AB57" s="65">
        <f t="shared" si="53"/>
        <v>208.49501671959391</v>
      </c>
      <c r="AC57" s="12">
        <f t="shared" si="54"/>
        <v>62.965495049317354</v>
      </c>
      <c r="AD57" s="12"/>
      <c r="AE57" s="65">
        <f t="shared" si="55"/>
        <v>10.560272596847431</v>
      </c>
      <c r="AF57" s="12" t="s">
        <v>143</v>
      </c>
      <c r="AG57" s="35">
        <v>2.4900000000000002</v>
      </c>
      <c r="AH57" s="35">
        <v>3.5</v>
      </c>
      <c r="AI57" s="66">
        <v>3.5</v>
      </c>
      <c r="AJ57" s="66"/>
      <c r="AK57" s="66">
        <v>3.5</v>
      </c>
      <c r="AL57" s="65">
        <f t="shared" si="40"/>
        <v>3.5</v>
      </c>
      <c r="AM57" s="65">
        <f t="shared" si="56"/>
        <v>8.7149999999999999</v>
      </c>
      <c r="AN57" s="12"/>
      <c r="AO57" s="12"/>
      <c r="AP57" s="12"/>
      <c r="AQ57" s="65"/>
      <c r="AR57" s="35"/>
      <c r="AS57" s="35"/>
      <c r="AT57" s="35"/>
      <c r="AU57" s="35"/>
      <c r="AV57" s="35"/>
      <c r="AW57" s="67"/>
      <c r="AX57" s="35">
        <v>48.62</v>
      </c>
      <c r="AY57" s="12">
        <v>17.510000000000002</v>
      </c>
      <c r="AZ57" s="12">
        <v>8.2899999999999991</v>
      </c>
      <c r="BA57" s="12">
        <v>5.19</v>
      </c>
      <c r="BB57" s="12"/>
      <c r="BC57" s="169">
        <f t="shared" si="22"/>
        <v>359.78551176891125</v>
      </c>
      <c r="BD57" s="165">
        <f t="shared" si="57"/>
        <v>41.699003343918783</v>
      </c>
      <c r="BE57" s="169">
        <f t="shared" si="58"/>
        <v>412.04478770967745</v>
      </c>
      <c r="BF57" s="172">
        <f t="shared" si="41"/>
        <v>359.78551176891125</v>
      </c>
    </row>
    <row r="58" spans="1:58" ht="78.75">
      <c r="A58" s="28" t="s">
        <v>61</v>
      </c>
      <c r="B58" s="20" t="s">
        <v>134</v>
      </c>
      <c r="C58" s="7"/>
      <c r="D58" s="20" t="s">
        <v>119</v>
      </c>
      <c r="E58" s="40">
        <v>5</v>
      </c>
      <c r="F58" s="35">
        <v>77.14</v>
      </c>
      <c r="G58" s="12">
        <v>6</v>
      </c>
      <c r="H58" s="35">
        <f t="shared" si="42"/>
        <v>4.6284000000000001</v>
      </c>
      <c r="I58" s="35"/>
      <c r="J58" s="35">
        <f t="shared" si="43"/>
        <v>0</v>
      </c>
      <c r="K58" s="35">
        <v>0</v>
      </c>
      <c r="L58" s="35">
        <f t="shared" si="44"/>
        <v>0</v>
      </c>
      <c r="M58" s="35">
        <v>0</v>
      </c>
      <c r="N58" s="35">
        <v>0</v>
      </c>
      <c r="O58" s="35">
        <f t="shared" si="45"/>
        <v>0</v>
      </c>
      <c r="P58" s="35"/>
      <c r="Q58" s="35"/>
      <c r="R58" s="35">
        <v>40</v>
      </c>
      <c r="S58" s="35">
        <f t="shared" si="46"/>
        <v>32.707360000000001</v>
      </c>
      <c r="T58" s="35">
        <v>30</v>
      </c>
      <c r="U58" s="35">
        <f t="shared" si="47"/>
        <v>34.342728000000001</v>
      </c>
      <c r="V58" s="35">
        <v>30</v>
      </c>
      <c r="W58" s="35">
        <f t="shared" si="48"/>
        <v>34.342728000000001</v>
      </c>
      <c r="X58" s="12">
        <f t="shared" si="49"/>
        <v>183.161216</v>
      </c>
      <c r="Y58" s="65">
        <f t="shared" si="50"/>
        <v>1.5228426395939085</v>
      </c>
      <c r="Z58" s="65">
        <f t="shared" si="51"/>
        <v>10.98967296</v>
      </c>
      <c r="AA58" s="65">
        <f t="shared" si="52"/>
        <v>12.821285120000001</v>
      </c>
      <c r="AB58" s="65">
        <f t="shared" si="53"/>
        <v>208.49501671959391</v>
      </c>
      <c r="AC58" s="12">
        <f t="shared" si="54"/>
        <v>62.965495049317354</v>
      </c>
      <c r="AD58" s="12"/>
      <c r="AE58" s="65">
        <f t="shared" si="55"/>
        <v>10.560272596847431</v>
      </c>
      <c r="AF58" s="12" t="s">
        <v>143</v>
      </c>
      <c r="AG58" s="35">
        <v>2.4900000000000002</v>
      </c>
      <c r="AH58" s="35">
        <v>30</v>
      </c>
      <c r="AI58" s="66">
        <v>30</v>
      </c>
      <c r="AJ58" s="66"/>
      <c r="AK58" s="66">
        <v>30</v>
      </c>
      <c r="AL58" s="65">
        <f>(AI58*9+AK58*3)/12</f>
        <v>30</v>
      </c>
      <c r="AM58" s="65">
        <f t="shared" si="56"/>
        <v>74.7</v>
      </c>
      <c r="AN58" s="12"/>
      <c r="AO58" s="12"/>
      <c r="AP58" s="12"/>
      <c r="AQ58" s="65"/>
      <c r="AR58" s="35"/>
      <c r="AS58" s="35"/>
      <c r="AT58" s="35"/>
      <c r="AU58" s="35"/>
      <c r="AV58" s="35"/>
      <c r="AW58" s="67"/>
      <c r="AX58" s="35">
        <v>48.62</v>
      </c>
      <c r="AY58" s="12">
        <v>17.510000000000002</v>
      </c>
      <c r="AZ58" s="12">
        <v>0.57999999999999996</v>
      </c>
      <c r="BA58" s="12">
        <v>5.19</v>
      </c>
      <c r="BB58" s="12"/>
      <c r="BC58" s="169">
        <f t="shared" si="22"/>
        <v>418.06051176891123</v>
      </c>
      <c r="BD58" s="165">
        <f t="shared" si="57"/>
        <v>41.699003343918783</v>
      </c>
      <c r="BE58" s="169">
        <f t="shared" si="58"/>
        <v>470.31978770967743</v>
      </c>
      <c r="BF58" s="172">
        <f t="shared" si="41"/>
        <v>418.06051176891123</v>
      </c>
    </row>
    <row r="59" spans="1:58" ht="47.25">
      <c r="A59" s="28" t="s">
        <v>62</v>
      </c>
      <c r="B59" s="20" t="s">
        <v>135</v>
      </c>
      <c r="C59" s="7"/>
      <c r="D59" s="20" t="s">
        <v>119</v>
      </c>
      <c r="E59" s="40">
        <v>5</v>
      </c>
      <c r="F59" s="35">
        <v>77.14</v>
      </c>
      <c r="G59" s="12">
        <v>6</v>
      </c>
      <c r="H59" s="35">
        <f t="shared" si="42"/>
        <v>4.6284000000000001</v>
      </c>
      <c r="I59" s="12"/>
      <c r="J59" s="35">
        <f t="shared" si="43"/>
        <v>0</v>
      </c>
      <c r="K59" s="12"/>
      <c r="L59" s="35">
        <f t="shared" si="44"/>
        <v>0</v>
      </c>
      <c r="M59" s="12"/>
      <c r="N59" s="12"/>
      <c r="O59" s="35">
        <f t="shared" si="45"/>
        <v>0</v>
      </c>
      <c r="P59" s="12"/>
      <c r="Q59" s="35"/>
      <c r="R59" s="35">
        <v>40</v>
      </c>
      <c r="S59" s="35">
        <f t="shared" si="46"/>
        <v>32.707360000000001</v>
      </c>
      <c r="T59" s="35">
        <v>30</v>
      </c>
      <c r="U59" s="35">
        <f t="shared" si="47"/>
        <v>34.342728000000001</v>
      </c>
      <c r="V59" s="35">
        <v>30</v>
      </c>
      <c r="W59" s="35">
        <f t="shared" si="48"/>
        <v>34.342728000000001</v>
      </c>
      <c r="X59" s="12">
        <f t="shared" si="49"/>
        <v>183.161216</v>
      </c>
      <c r="Y59" s="65">
        <f t="shared" si="50"/>
        <v>1.5228426395939085</v>
      </c>
      <c r="Z59" s="65">
        <f t="shared" si="51"/>
        <v>10.98967296</v>
      </c>
      <c r="AA59" s="65">
        <f t="shared" si="52"/>
        <v>12.821285120000001</v>
      </c>
      <c r="AB59" s="65">
        <f t="shared" si="53"/>
        <v>208.49501671959391</v>
      </c>
      <c r="AC59" s="12">
        <f t="shared" si="54"/>
        <v>62.965495049317354</v>
      </c>
      <c r="AD59" s="12"/>
      <c r="AE59" s="65">
        <f t="shared" si="55"/>
        <v>10.560272596847431</v>
      </c>
      <c r="AF59" s="12"/>
      <c r="AG59" s="12"/>
      <c r="AH59" s="35"/>
      <c r="AI59" s="66"/>
      <c r="AJ59" s="66"/>
      <c r="AK59" s="66"/>
      <c r="AL59" s="65">
        <f t="shared" si="40"/>
        <v>0</v>
      </c>
      <c r="AM59" s="65">
        <f t="shared" si="56"/>
        <v>0</v>
      </c>
      <c r="AN59" s="12"/>
      <c r="AO59" s="12"/>
      <c r="AP59" s="12"/>
      <c r="AQ59" s="65"/>
      <c r="AR59" s="35"/>
      <c r="AS59" s="35"/>
      <c r="AT59" s="35"/>
      <c r="AU59" s="35"/>
      <c r="AV59" s="35"/>
      <c r="AW59" s="67"/>
      <c r="AX59" s="35">
        <v>48.62</v>
      </c>
      <c r="AY59" s="12">
        <v>17.510000000000002</v>
      </c>
      <c r="AZ59" s="12"/>
      <c r="BA59" s="12">
        <v>5.19</v>
      </c>
      <c r="BB59" s="12"/>
      <c r="BC59" s="169">
        <f t="shared" si="22"/>
        <v>342.78051176891125</v>
      </c>
      <c r="BD59" s="165">
        <f t="shared" si="57"/>
        <v>41.699003343918783</v>
      </c>
      <c r="BE59" s="169">
        <f t="shared" si="58"/>
        <v>395.03978770967746</v>
      </c>
      <c r="BF59" s="172">
        <f t="shared" si="41"/>
        <v>342.78051176891125</v>
      </c>
    </row>
    <row r="60" spans="1:58" ht="47.25">
      <c r="A60" s="28" t="s">
        <v>63</v>
      </c>
      <c r="B60" s="20" t="s">
        <v>136</v>
      </c>
      <c r="C60" s="7"/>
      <c r="D60" s="20" t="s">
        <v>144</v>
      </c>
      <c r="E60" s="40">
        <v>5</v>
      </c>
      <c r="F60" s="41">
        <v>70.55</v>
      </c>
      <c r="G60" s="12">
        <v>4</v>
      </c>
      <c r="H60" s="35">
        <f t="shared" si="42"/>
        <v>2.8220000000000001</v>
      </c>
      <c r="I60" s="12"/>
      <c r="J60" s="35">
        <f t="shared" si="43"/>
        <v>0</v>
      </c>
      <c r="K60" s="12"/>
      <c r="L60" s="35">
        <f t="shared" si="44"/>
        <v>0</v>
      </c>
      <c r="M60" s="12"/>
      <c r="N60" s="12"/>
      <c r="O60" s="35">
        <f t="shared" si="45"/>
        <v>0</v>
      </c>
      <c r="P60" s="12"/>
      <c r="Q60" s="35"/>
      <c r="R60" s="35">
        <v>40</v>
      </c>
      <c r="S60" s="35">
        <f t="shared" si="46"/>
        <v>29.348800000000001</v>
      </c>
      <c r="T60" s="35">
        <v>30</v>
      </c>
      <c r="U60" s="35">
        <f t="shared" si="47"/>
        <v>30.816239999999997</v>
      </c>
      <c r="V60" s="35">
        <v>30</v>
      </c>
      <c r="W60" s="35">
        <f t="shared" si="48"/>
        <v>30.816239999999997</v>
      </c>
      <c r="X60" s="12">
        <f t="shared" si="49"/>
        <v>164.35327999999998</v>
      </c>
      <c r="Y60" s="65">
        <f t="shared" si="50"/>
        <v>1.5228426395939085</v>
      </c>
      <c r="Z60" s="65">
        <f t="shared" si="51"/>
        <v>9.8611967999999983</v>
      </c>
      <c r="AA60" s="65">
        <f t="shared" si="52"/>
        <v>11.504729599999999</v>
      </c>
      <c r="AB60" s="65">
        <f t="shared" si="53"/>
        <v>187.24204903959387</v>
      </c>
      <c r="AC60" s="12">
        <f t="shared" si="54"/>
        <v>56.547098809957347</v>
      </c>
      <c r="AD60" s="12"/>
      <c r="AE60" s="65">
        <f t="shared" si="55"/>
        <v>9.4838097838554294</v>
      </c>
      <c r="AF60" s="9" t="s">
        <v>24</v>
      </c>
      <c r="AG60" s="9">
        <v>30.04</v>
      </c>
      <c r="AH60" s="35">
        <v>1</v>
      </c>
      <c r="AI60" s="66">
        <v>1</v>
      </c>
      <c r="AJ60" s="66"/>
      <c r="AK60" s="66">
        <f>AI60*1.15</f>
        <v>1.1499999999999999</v>
      </c>
      <c r="AL60" s="65">
        <f>(AI60*9+AK60*3)/12</f>
        <v>1.0374999999999999</v>
      </c>
      <c r="AM60" s="65">
        <f t="shared" si="56"/>
        <v>31.166499999999996</v>
      </c>
      <c r="AN60" s="12" t="s">
        <v>74</v>
      </c>
      <c r="AO60" s="12">
        <v>50.1</v>
      </c>
      <c r="AP60" s="12">
        <v>2.4</v>
      </c>
      <c r="AQ60" s="65">
        <f>AL60*AP60/100*AO60</f>
        <v>1.24749</v>
      </c>
      <c r="AR60" s="35"/>
      <c r="AS60" s="35"/>
      <c r="AT60" s="35"/>
      <c r="AU60" s="35"/>
      <c r="AV60" s="35"/>
      <c r="AW60" s="67"/>
      <c r="AX60" s="35">
        <v>48.62</v>
      </c>
      <c r="AY60" s="12">
        <v>17.510000000000002</v>
      </c>
      <c r="AZ60" s="12">
        <v>6.17</v>
      </c>
      <c r="BA60" s="12">
        <v>5.19</v>
      </c>
      <c r="BB60" s="12"/>
      <c r="BC60" s="169">
        <f t="shared" si="22"/>
        <v>353.69313784955125</v>
      </c>
      <c r="BD60" s="165">
        <f t="shared" si="57"/>
        <v>37.448409807918772</v>
      </c>
      <c r="BE60" s="169">
        <f t="shared" si="58"/>
        <v>400.62535744132543</v>
      </c>
      <c r="BF60" s="172">
        <f t="shared" si="41"/>
        <v>353.69313784955125</v>
      </c>
    </row>
    <row r="61" spans="1:58" ht="78.75">
      <c r="A61" s="28" t="s">
        <v>64</v>
      </c>
      <c r="B61" s="20" t="s">
        <v>137</v>
      </c>
      <c r="C61" s="7"/>
      <c r="D61" s="10" t="s">
        <v>121</v>
      </c>
      <c r="E61" s="40">
        <v>5</v>
      </c>
      <c r="F61" s="35">
        <v>77.14</v>
      </c>
      <c r="G61" s="12">
        <v>12</v>
      </c>
      <c r="H61" s="35">
        <f t="shared" si="42"/>
        <v>9.2568000000000001</v>
      </c>
      <c r="I61" s="12"/>
      <c r="J61" s="35">
        <f t="shared" si="43"/>
        <v>0</v>
      </c>
      <c r="K61" s="12"/>
      <c r="L61" s="35">
        <f t="shared" si="44"/>
        <v>0</v>
      </c>
      <c r="M61" s="12"/>
      <c r="N61" s="12">
        <v>25</v>
      </c>
      <c r="O61" s="35">
        <f t="shared" si="45"/>
        <v>19.285</v>
      </c>
      <c r="P61" s="12"/>
      <c r="Q61" s="12"/>
      <c r="R61" s="35">
        <v>40</v>
      </c>
      <c r="S61" s="35">
        <f t="shared" si="46"/>
        <v>42.27272</v>
      </c>
      <c r="T61" s="35">
        <v>30</v>
      </c>
      <c r="U61" s="35">
        <f t="shared" si="47"/>
        <v>44.386355999999999</v>
      </c>
      <c r="V61" s="35">
        <v>30</v>
      </c>
      <c r="W61" s="35">
        <f t="shared" si="48"/>
        <v>44.386355999999999</v>
      </c>
      <c r="X61" s="12">
        <f t="shared" si="49"/>
        <v>236.72723200000001</v>
      </c>
      <c r="Y61" s="65">
        <f t="shared" si="50"/>
        <v>1.5228426395939085</v>
      </c>
      <c r="Z61" s="65">
        <f t="shared" si="51"/>
        <v>14.20363392</v>
      </c>
      <c r="AA61" s="65">
        <f t="shared" si="52"/>
        <v>16.570906240000003</v>
      </c>
      <c r="AB61" s="65">
        <f t="shared" si="53"/>
        <v>269.02461479959391</v>
      </c>
      <c r="AC61" s="12">
        <f t="shared" si="54"/>
        <v>81.24543366947735</v>
      </c>
      <c r="AD61" s="12"/>
      <c r="AE61" s="65">
        <f t="shared" si="55"/>
        <v>13.626096739599431</v>
      </c>
      <c r="AF61" s="12" t="s">
        <v>143</v>
      </c>
      <c r="AG61" s="35">
        <v>2.4900000000000002</v>
      </c>
      <c r="AH61" s="35">
        <v>4.8</v>
      </c>
      <c r="AI61" s="66">
        <v>4.8</v>
      </c>
      <c r="AJ61" s="66"/>
      <c r="AK61" s="66">
        <v>4.8</v>
      </c>
      <c r="AL61" s="65">
        <f>(AI61*9+AK61*3)/12</f>
        <v>4.8</v>
      </c>
      <c r="AM61" s="65">
        <f t="shared" si="56"/>
        <v>11.952</v>
      </c>
      <c r="AN61" s="12"/>
      <c r="AO61" s="12"/>
      <c r="AP61" s="12"/>
      <c r="AQ61" s="65"/>
      <c r="AR61" s="35"/>
      <c r="AS61" s="35"/>
      <c r="AT61" s="35"/>
      <c r="AU61" s="35"/>
      <c r="AV61" s="35"/>
      <c r="AW61" s="67"/>
      <c r="AX61" s="35">
        <v>48.62</v>
      </c>
      <c r="AY61" s="12">
        <v>17.510000000000002</v>
      </c>
      <c r="AZ61" s="12"/>
      <c r="BA61" s="12">
        <v>5.19</v>
      </c>
      <c r="BB61" s="12"/>
      <c r="BC61" s="169">
        <f t="shared" si="22"/>
        <v>433.54204846907123</v>
      </c>
      <c r="BD61" s="165">
        <f t="shared" si="57"/>
        <v>53.804922959918784</v>
      </c>
      <c r="BE61" s="169">
        <f t="shared" si="58"/>
        <v>500.97306816858941</v>
      </c>
      <c r="BF61" s="172">
        <f t="shared" si="41"/>
        <v>433.54204846907123</v>
      </c>
    </row>
    <row r="62" spans="1:58" ht="110.25">
      <c r="A62" s="28" t="s">
        <v>65</v>
      </c>
      <c r="B62" s="20" t="s">
        <v>148</v>
      </c>
      <c r="C62" s="12"/>
      <c r="D62" s="20" t="s">
        <v>119</v>
      </c>
      <c r="E62" s="40">
        <v>6</v>
      </c>
      <c r="F62" s="41">
        <v>79.959999999999994</v>
      </c>
      <c r="G62" s="12">
        <v>6</v>
      </c>
      <c r="H62" s="35">
        <f t="shared" si="42"/>
        <v>4.7976000000000001</v>
      </c>
      <c r="I62" s="12"/>
      <c r="J62" s="35">
        <f t="shared" si="43"/>
        <v>0</v>
      </c>
      <c r="K62" s="12"/>
      <c r="L62" s="35">
        <f t="shared" si="44"/>
        <v>0</v>
      </c>
      <c r="M62" s="12"/>
      <c r="N62" s="12"/>
      <c r="O62" s="35">
        <f t="shared" si="45"/>
        <v>0</v>
      </c>
      <c r="P62" s="12"/>
      <c r="Q62" s="35"/>
      <c r="R62" s="35">
        <v>40</v>
      </c>
      <c r="S62" s="35">
        <f t="shared" si="46"/>
        <v>33.903040000000004</v>
      </c>
      <c r="T62" s="35">
        <v>30</v>
      </c>
      <c r="U62" s="35">
        <f t="shared" si="47"/>
        <v>35.598191999999997</v>
      </c>
      <c r="V62" s="35">
        <v>30</v>
      </c>
      <c r="W62" s="35">
        <f t="shared" si="48"/>
        <v>35.598191999999997</v>
      </c>
      <c r="X62" s="12">
        <f t="shared" si="49"/>
        <v>189.85702399999997</v>
      </c>
      <c r="Y62" s="65">
        <f t="shared" si="50"/>
        <v>1.5228426395939085</v>
      </c>
      <c r="Z62" s="65">
        <f t="shared" si="51"/>
        <v>11.391421439999998</v>
      </c>
      <c r="AA62" s="65">
        <f t="shared" si="52"/>
        <v>13.289991679999998</v>
      </c>
      <c r="AB62" s="65">
        <f t="shared" si="53"/>
        <v>216.06127975959384</v>
      </c>
      <c r="AC62" s="12">
        <f t="shared" si="54"/>
        <v>65.250506487397345</v>
      </c>
      <c r="AD62" s="12">
        <f>AB62*0.268</f>
        <v>57.904422975571151</v>
      </c>
      <c r="AE62" s="65">
        <f t="shared" si="55"/>
        <v>10.943503819823427</v>
      </c>
      <c r="AF62" s="9" t="s">
        <v>26</v>
      </c>
      <c r="AG62" s="9">
        <v>31.43</v>
      </c>
      <c r="AH62" s="35">
        <v>2.5</v>
      </c>
      <c r="AI62" s="35">
        <v>2.5</v>
      </c>
      <c r="AJ62" s="35">
        <v>2.5</v>
      </c>
      <c r="AK62" s="35">
        <v>2.5</v>
      </c>
      <c r="AL62" s="65">
        <v>2.5</v>
      </c>
      <c r="AM62" s="65">
        <f t="shared" si="56"/>
        <v>78.575000000000003</v>
      </c>
      <c r="AN62" s="12" t="s">
        <v>74</v>
      </c>
      <c r="AO62" s="12">
        <v>50.1</v>
      </c>
      <c r="AP62" s="12">
        <v>2.4</v>
      </c>
      <c r="AQ62" s="65">
        <f>AL62*AP62/100*AO62</f>
        <v>3.0059999999999998</v>
      </c>
      <c r="AR62" s="35"/>
      <c r="AS62" s="35"/>
      <c r="AT62" s="35"/>
      <c r="AU62" s="35"/>
      <c r="AV62" s="35"/>
      <c r="AW62" s="67"/>
      <c r="AX62" s="35">
        <v>48.62</v>
      </c>
      <c r="AY62" s="12">
        <v>17.510000000000002</v>
      </c>
      <c r="AZ62" s="12">
        <v>171.69</v>
      </c>
      <c r="BA62" s="12">
        <v>5.19</v>
      </c>
      <c r="BB62" s="12">
        <v>586.07000000000005</v>
      </c>
      <c r="BC62" s="169">
        <f t="shared" si="22"/>
        <v>1249.8772092225622</v>
      </c>
      <c r="BD62" s="165">
        <f>AB62*0.2</f>
        <v>43.21225595191877</v>
      </c>
      <c r="BE62" s="169">
        <f t="shared" si="58"/>
        <v>1304.0329689943044</v>
      </c>
      <c r="BF62" s="172">
        <f t="shared" si="41"/>
        <v>1191.9727862469911</v>
      </c>
    </row>
    <row r="63" spans="1:58" ht="120" customHeight="1">
      <c r="A63" s="28" t="s">
        <v>66</v>
      </c>
      <c r="B63" s="20" t="s">
        <v>150</v>
      </c>
      <c r="C63" s="7"/>
      <c r="D63" s="10"/>
      <c r="E63" s="32"/>
      <c r="F63" s="41"/>
      <c r="G63" s="12"/>
      <c r="H63" s="35"/>
      <c r="I63" s="12"/>
      <c r="J63" s="35"/>
      <c r="K63" s="12"/>
      <c r="L63" s="35"/>
      <c r="M63" s="12"/>
      <c r="N63" s="12"/>
      <c r="O63" s="35"/>
      <c r="P63" s="12"/>
      <c r="Q63" s="35"/>
      <c r="R63" s="35"/>
      <c r="S63" s="35"/>
      <c r="T63" s="35"/>
      <c r="U63" s="35"/>
      <c r="V63" s="35"/>
      <c r="W63" s="35"/>
      <c r="X63" s="12"/>
      <c r="Y63" s="12"/>
      <c r="Z63" s="12"/>
      <c r="AA63" s="12"/>
      <c r="AB63" s="12"/>
      <c r="AC63" s="12"/>
      <c r="AD63" s="12"/>
      <c r="AE63" s="65"/>
      <c r="AF63" s="12"/>
      <c r="AG63" s="12"/>
      <c r="AH63" s="35"/>
      <c r="AI63" s="66"/>
      <c r="AJ63" s="66"/>
      <c r="AK63" s="66"/>
      <c r="AL63" s="65"/>
      <c r="AM63" s="65"/>
      <c r="AN63" s="12"/>
      <c r="AO63" s="12"/>
      <c r="AP63" s="12"/>
      <c r="AQ63" s="65"/>
      <c r="AR63" s="35"/>
      <c r="AS63" s="35"/>
      <c r="AT63" s="35"/>
      <c r="AU63" s="35"/>
      <c r="AV63" s="35"/>
      <c r="AW63" s="67"/>
      <c r="AX63" s="35"/>
      <c r="AY63" s="12"/>
      <c r="AZ63" s="12"/>
      <c r="BA63" s="12"/>
      <c r="BB63" s="12"/>
      <c r="BC63" s="169"/>
      <c r="BD63" s="165"/>
      <c r="BE63" s="169"/>
      <c r="BF63" s="172"/>
    </row>
    <row r="64" spans="1:58" ht="78.75">
      <c r="A64" s="28"/>
      <c r="B64" s="20" t="s">
        <v>149</v>
      </c>
      <c r="C64" s="7"/>
      <c r="D64" s="10" t="s">
        <v>153</v>
      </c>
      <c r="E64" s="32">
        <v>5</v>
      </c>
      <c r="F64" s="41">
        <v>70.55</v>
      </c>
      <c r="G64" s="12">
        <v>4</v>
      </c>
      <c r="H64" s="35">
        <f>F64*G64/100</f>
        <v>2.8220000000000001</v>
      </c>
      <c r="I64" s="12"/>
      <c r="J64" s="35">
        <f>F64*I64/100</f>
        <v>0</v>
      </c>
      <c r="K64" s="12"/>
      <c r="L64" s="35">
        <f>F64*K64/100</f>
        <v>0</v>
      </c>
      <c r="M64" s="12"/>
      <c r="N64" s="12"/>
      <c r="O64" s="35">
        <f>F64*N64/100</f>
        <v>0</v>
      </c>
      <c r="P64" s="12"/>
      <c r="Q64" s="35"/>
      <c r="R64" s="35">
        <v>40</v>
      </c>
      <c r="S64" s="35">
        <f>(F64+H64+J64+L64+M64+O64+Q64)*R64/100</f>
        <v>29.348800000000001</v>
      </c>
      <c r="T64" s="35">
        <v>30</v>
      </c>
      <c r="U64" s="35">
        <f>(F64+H64+J64+L64+M64+O64+Q64+S64)*30/100</f>
        <v>30.816239999999997</v>
      </c>
      <c r="V64" s="35">
        <v>30</v>
      </c>
      <c r="W64" s="35">
        <f>U64</f>
        <v>30.816239999999997</v>
      </c>
      <c r="X64" s="12">
        <f>F64+H64+J64+L64+M64+O64+Q64+S64+U64+W64</f>
        <v>164.35327999999998</v>
      </c>
      <c r="Y64" s="65">
        <f>3000/1970</f>
        <v>1.5228426395939085</v>
      </c>
      <c r="Z64" s="65">
        <f>X64*0.06</f>
        <v>9.8611967999999983</v>
      </c>
      <c r="AA64" s="65">
        <f>X64*0.07</f>
        <v>11.504729599999999</v>
      </c>
      <c r="AB64" s="65">
        <f>X64+Y64+Z64+AA64</f>
        <v>187.24204903959387</v>
      </c>
      <c r="AC64" s="12">
        <f>AB64*0.302</f>
        <v>56.547098809957347</v>
      </c>
      <c r="AD64" s="12"/>
      <c r="AE64" s="65">
        <f>AB64*1.013*0.05</f>
        <v>9.4838097838554294</v>
      </c>
      <c r="AF64" s="12"/>
      <c r="AG64" s="12"/>
      <c r="AH64" s="35"/>
      <c r="AI64" s="66"/>
      <c r="AJ64" s="66"/>
      <c r="AK64" s="66"/>
      <c r="AL64" s="65">
        <f>(AI64*9+AK64*3)/12</f>
        <v>0</v>
      </c>
      <c r="AM64" s="65">
        <f>AG64*AL64</f>
        <v>0</v>
      </c>
      <c r="AN64" s="12"/>
      <c r="AO64" s="12"/>
      <c r="AP64" s="12"/>
      <c r="AQ64" s="65"/>
      <c r="AR64" s="35"/>
      <c r="AS64" s="35"/>
      <c r="AT64" s="35"/>
      <c r="AU64" s="35"/>
      <c r="AV64" s="35"/>
      <c r="AW64" s="67"/>
      <c r="AX64" s="35">
        <v>48.62</v>
      </c>
      <c r="AY64" s="12">
        <v>17.510000000000002</v>
      </c>
      <c r="AZ64" s="12"/>
      <c r="BA64" s="12">
        <v>5.19</v>
      </c>
      <c r="BB64" s="12"/>
      <c r="BC64" s="169">
        <f>AB64+AC64+AD64+AM64+AQ64+AW64+AX64+AY64+AZ64+BA64+BB64+AB65+AC65</f>
        <v>491.26284896792686</v>
      </c>
      <c r="BD64" s="165">
        <f>AB64*0.2</f>
        <v>37.448409807918772</v>
      </c>
      <c r="BE64" s="169">
        <f>BC64+AE64+BD64</f>
        <v>538.19506855970099</v>
      </c>
      <c r="BF64" s="172">
        <f>BC64-AD64</f>
        <v>491.26284896792686</v>
      </c>
    </row>
    <row r="65" spans="1:58" ht="78.75">
      <c r="A65" s="28"/>
      <c r="B65" s="20"/>
      <c r="C65" s="7"/>
      <c r="D65" s="10" t="s">
        <v>159</v>
      </c>
      <c r="E65" s="32"/>
      <c r="F65" s="44">
        <v>106.3</v>
      </c>
      <c r="G65" s="12"/>
      <c r="H65" s="35">
        <f>F65*G65/100</f>
        <v>0</v>
      </c>
      <c r="I65" s="12"/>
      <c r="J65" s="35">
        <f>F65*I65/100</f>
        <v>0</v>
      </c>
      <c r="K65" s="12"/>
      <c r="L65" s="35">
        <f>F65*K65/100</f>
        <v>0</v>
      </c>
      <c r="M65" s="12"/>
      <c r="N65" s="12"/>
      <c r="O65" s="35">
        <f>F65*N65/100</f>
        <v>0</v>
      </c>
      <c r="P65" s="12"/>
      <c r="Q65" s="35"/>
      <c r="R65" s="35">
        <v>40</v>
      </c>
      <c r="S65" s="35">
        <f>(F65+H65+J65+L65+M65+O65+Q65)*R65/100*0.5</f>
        <v>21.26</v>
      </c>
      <c r="T65" s="35">
        <v>30</v>
      </c>
      <c r="U65" s="35">
        <f>((F65+H65+J65+L65+M65+O65+Q65)*0.5+S65)*30/100</f>
        <v>22.322999999999997</v>
      </c>
      <c r="V65" s="35">
        <v>30</v>
      </c>
      <c r="W65" s="35">
        <f>U65</f>
        <v>22.322999999999997</v>
      </c>
      <c r="X65" s="12">
        <f>F65*0.5+H65+J65+L65+M65+O65+Q65+S65+U65+W65</f>
        <v>119.05599999999998</v>
      </c>
      <c r="Y65" s="65">
        <f>3000/1970/2</f>
        <v>0.76142131979695427</v>
      </c>
      <c r="Z65" s="65">
        <f>X65*0.06</f>
        <v>7.1433599999999986</v>
      </c>
      <c r="AA65" s="65">
        <f>X65*0.07</f>
        <v>8.3339199999999991</v>
      </c>
      <c r="AB65" s="65">
        <f>X65+Y65+Z65+AA65</f>
        <v>135.29470131979693</v>
      </c>
      <c r="AC65" s="12">
        <f>AB65*0.302</f>
        <v>40.858999798578672</v>
      </c>
      <c r="AD65" s="12"/>
      <c r="AE65" s="65"/>
      <c r="AF65" s="12"/>
      <c r="AG65" s="12"/>
      <c r="AH65" s="35"/>
      <c r="AI65" s="66"/>
      <c r="AJ65" s="66"/>
      <c r="AK65" s="66"/>
      <c r="AL65" s="65"/>
      <c r="AM65" s="65"/>
      <c r="AN65" s="12"/>
      <c r="AO65" s="12"/>
      <c r="AP65" s="12"/>
      <c r="AQ65" s="65"/>
      <c r="AR65" s="35"/>
      <c r="AS65" s="35"/>
      <c r="AT65" s="35"/>
      <c r="AU65" s="35"/>
      <c r="AV65" s="35"/>
      <c r="AW65" s="67"/>
      <c r="AX65" s="35"/>
      <c r="AY65" s="12"/>
      <c r="AZ65" s="12"/>
      <c r="BA65" s="12"/>
      <c r="BB65" s="12"/>
      <c r="BC65" s="169"/>
      <c r="BD65" s="165"/>
      <c r="BE65" s="169"/>
      <c r="BF65" s="172"/>
    </row>
    <row r="66" spans="1:58" ht="78.75">
      <c r="A66" s="28"/>
      <c r="B66" s="20" t="s">
        <v>151</v>
      </c>
      <c r="C66" s="7"/>
      <c r="D66" s="10" t="s">
        <v>153</v>
      </c>
      <c r="E66" s="32">
        <v>5</v>
      </c>
      <c r="F66" s="41">
        <v>70.55</v>
      </c>
      <c r="G66" s="12">
        <v>4</v>
      </c>
      <c r="H66" s="35">
        <f>F66*G66/100</f>
        <v>2.8220000000000001</v>
      </c>
      <c r="I66" s="12"/>
      <c r="J66" s="35">
        <f>F66*I66/100</f>
        <v>0</v>
      </c>
      <c r="K66" s="12"/>
      <c r="L66" s="35">
        <f>F66*K66/100</f>
        <v>0</v>
      </c>
      <c r="M66" s="12"/>
      <c r="N66" s="12"/>
      <c r="O66" s="35">
        <f>F66*N66/100</f>
        <v>0</v>
      </c>
      <c r="P66" s="12"/>
      <c r="Q66" s="35"/>
      <c r="R66" s="35">
        <v>40</v>
      </c>
      <c r="S66" s="35">
        <f>(F66+H66+J66+L66+M66+O66+Q66)*R66/100</f>
        <v>29.348800000000001</v>
      </c>
      <c r="T66" s="35">
        <v>30</v>
      </c>
      <c r="U66" s="35">
        <f>(F66+H66+J66+L66+M66+O66+Q66+S66)*30/100</f>
        <v>30.816239999999997</v>
      </c>
      <c r="V66" s="35">
        <v>30</v>
      </c>
      <c r="W66" s="35">
        <f>U66</f>
        <v>30.816239999999997</v>
      </c>
      <c r="X66" s="12">
        <f>F66+H66+J66+L66+M66+O66+Q66+S66+U66+W66</f>
        <v>164.35327999999998</v>
      </c>
      <c r="Y66" s="65">
        <f>3000/1970</f>
        <v>1.5228426395939085</v>
      </c>
      <c r="Z66" s="65">
        <f>X66*0.06</f>
        <v>9.8611967999999983</v>
      </c>
      <c r="AA66" s="65">
        <f>X66*0.07</f>
        <v>11.504729599999999</v>
      </c>
      <c r="AB66" s="65">
        <f>X66+Y66+Z66+AA66</f>
        <v>187.24204903959387</v>
      </c>
      <c r="AC66" s="12">
        <f>AB66*0.302</f>
        <v>56.547098809957347</v>
      </c>
      <c r="AD66" s="12"/>
      <c r="AE66" s="65">
        <f>AB66*1.013*0.05</f>
        <v>9.4838097838554294</v>
      </c>
      <c r="AF66" s="12"/>
      <c r="AG66" s="12"/>
      <c r="AH66" s="35"/>
      <c r="AI66" s="66"/>
      <c r="AJ66" s="66"/>
      <c r="AK66" s="66"/>
      <c r="AL66" s="65">
        <f>(AI66*9+AK66*3)/12</f>
        <v>0</v>
      </c>
      <c r="AM66" s="65">
        <f>AG66*AL66</f>
        <v>0</v>
      </c>
      <c r="AN66" s="12"/>
      <c r="AO66" s="12"/>
      <c r="AP66" s="12"/>
      <c r="AQ66" s="65"/>
      <c r="AR66" s="35"/>
      <c r="AS66" s="35"/>
      <c r="AT66" s="35"/>
      <c r="AU66" s="35"/>
      <c r="AV66" s="35"/>
      <c r="AW66" s="67"/>
      <c r="AX66" s="35">
        <v>48.62</v>
      </c>
      <c r="AY66" s="12">
        <v>17.510000000000002</v>
      </c>
      <c r="AZ66" s="12"/>
      <c r="BA66" s="12">
        <v>5.19</v>
      </c>
      <c r="BB66" s="31">
        <v>586.07000000000005</v>
      </c>
      <c r="BC66" s="169">
        <f>AB66+AC66+AD66+AM66+AQ66+AW66+AX66+AY66+AZ66+BA66+BB66+AB67+AC67</f>
        <v>1077.332848967927</v>
      </c>
      <c r="BD66" s="165">
        <f>AB66*0.2</f>
        <v>37.448409807918772</v>
      </c>
      <c r="BE66" s="169">
        <f>BC66+AE66+BD66</f>
        <v>1124.2650685597011</v>
      </c>
      <c r="BF66" s="172">
        <f>BC66-AD66</f>
        <v>1077.332848967927</v>
      </c>
    </row>
    <row r="67" spans="1:58" ht="78.75">
      <c r="A67" s="28"/>
      <c r="B67" s="20"/>
      <c r="C67" s="7"/>
      <c r="D67" s="10" t="s">
        <v>159</v>
      </c>
      <c r="E67" s="32"/>
      <c r="F67" s="44">
        <v>106.3</v>
      </c>
      <c r="G67" s="12"/>
      <c r="H67" s="35">
        <f>F67*G67/100</f>
        <v>0</v>
      </c>
      <c r="I67" s="12"/>
      <c r="J67" s="35">
        <f>F67*I67/100</f>
        <v>0</v>
      </c>
      <c r="K67" s="12"/>
      <c r="L67" s="35">
        <f>F67*K67/100</f>
        <v>0</v>
      </c>
      <c r="M67" s="12"/>
      <c r="N67" s="12"/>
      <c r="O67" s="35">
        <f>F67*N67/100</f>
        <v>0</v>
      </c>
      <c r="P67" s="12"/>
      <c r="Q67" s="35"/>
      <c r="R67" s="35">
        <v>40</v>
      </c>
      <c r="S67" s="35">
        <f>(F67+H67+J67+L67+M67+O67+Q67)*R67/100*0.5</f>
        <v>21.26</v>
      </c>
      <c r="T67" s="35">
        <v>30</v>
      </c>
      <c r="U67" s="35">
        <f>((F67+H67+J67+L67+M67+O67+Q67)*0.5+S67)*30/100</f>
        <v>22.322999999999997</v>
      </c>
      <c r="V67" s="35">
        <v>30</v>
      </c>
      <c r="W67" s="35">
        <f>U67</f>
        <v>22.322999999999997</v>
      </c>
      <c r="X67" s="12">
        <f>F67*0.5+H67+J67+L67+M67+O67+Q67+S67+U67+W67</f>
        <v>119.05599999999998</v>
      </c>
      <c r="Y67" s="65">
        <f>3000/1970/2</f>
        <v>0.76142131979695427</v>
      </c>
      <c r="Z67" s="65">
        <f>X67*0.06</f>
        <v>7.1433599999999986</v>
      </c>
      <c r="AA67" s="65">
        <f>X67*0.07</f>
        <v>8.3339199999999991</v>
      </c>
      <c r="AB67" s="65">
        <f>X67+Y67+Z67+AA67</f>
        <v>135.29470131979693</v>
      </c>
      <c r="AC67" s="12">
        <f>AB67*0.302</f>
        <v>40.858999798578672</v>
      </c>
      <c r="AD67" s="12"/>
      <c r="AE67" s="65"/>
      <c r="AF67" s="12"/>
      <c r="AG67" s="12"/>
      <c r="AH67" s="35"/>
      <c r="AI67" s="66"/>
      <c r="AJ67" s="66"/>
      <c r="AK67" s="66"/>
      <c r="AL67" s="65"/>
      <c r="AM67" s="65"/>
      <c r="AN67" s="12"/>
      <c r="AO67" s="12"/>
      <c r="AP67" s="12"/>
      <c r="AQ67" s="65"/>
      <c r="AR67" s="35"/>
      <c r="AS67" s="35"/>
      <c r="AT67" s="35"/>
      <c r="AU67" s="35"/>
      <c r="AV67" s="35"/>
      <c r="AW67" s="67"/>
      <c r="AX67" s="35"/>
      <c r="AY67" s="12"/>
      <c r="AZ67" s="12"/>
      <c r="BA67" s="12"/>
      <c r="BB67" s="31"/>
      <c r="BC67" s="169"/>
      <c r="BD67" s="165"/>
      <c r="BE67" s="169"/>
      <c r="BF67" s="172"/>
    </row>
    <row r="68" spans="1:58" ht="126">
      <c r="A68" s="28" t="s">
        <v>67</v>
      </c>
      <c r="B68" s="20" t="s">
        <v>152</v>
      </c>
      <c r="C68" s="7"/>
      <c r="D68" s="10"/>
      <c r="E68" s="40"/>
      <c r="F68" s="41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12"/>
      <c r="Y68" s="12"/>
      <c r="Z68" s="12"/>
      <c r="AA68" s="12"/>
      <c r="AB68" s="12"/>
      <c r="AC68" s="12"/>
      <c r="AD68" s="12"/>
      <c r="AE68" s="65"/>
      <c r="AF68" s="12"/>
      <c r="AG68" s="12"/>
      <c r="AH68" s="35"/>
      <c r="AI68" s="66"/>
      <c r="AJ68" s="66"/>
      <c r="AK68" s="66"/>
      <c r="AL68" s="65"/>
      <c r="AM68" s="65"/>
      <c r="AN68" s="12"/>
      <c r="AO68" s="12"/>
      <c r="AP68" s="12"/>
      <c r="AQ68" s="65"/>
      <c r="AR68" s="35"/>
      <c r="AS68" s="35"/>
      <c r="AT68" s="35"/>
      <c r="AU68" s="35"/>
      <c r="AV68" s="35"/>
      <c r="AW68" s="67"/>
      <c r="AX68" s="35"/>
      <c r="AY68" s="12"/>
      <c r="AZ68" s="12"/>
      <c r="BA68" s="12"/>
      <c r="BB68" s="12"/>
      <c r="BC68" s="169"/>
      <c r="BD68" s="165"/>
      <c r="BE68" s="169"/>
      <c r="BF68" s="172"/>
    </row>
    <row r="69" spans="1:58" ht="89.25" customHeight="1">
      <c r="A69" s="28"/>
      <c r="B69" s="20" t="s">
        <v>149</v>
      </c>
      <c r="C69" s="7"/>
      <c r="D69" s="10" t="s">
        <v>153</v>
      </c>
      <c r="E69" s="32">
        <v>5</v>
      </c>
      <c r="F69" s="41">
        <v>70.55</v>
      </c>
      <c r="G69" s="12">
        <v>4</v>
      </c>
      <c r="H69" s="35">
        <f t="shared" ref="H69:H74" si="59">F69*G69/100</f>
        <v>2.8220000000000001</v>
      </c>
      <c r="I69" s="12"/>
      <c r="J69" s="35">
        <f t="shared" ref="J69:J74" si="60">F69*I69/100</f>
        <v>0</v>
      </c>
      <c r="K69" s="12"/>
      <c r="L69" s="35">
        <f t="shared" ref="L69:L74" si="61">F69*K69/100</f>
        <v>0</v>
      </c>
      <c r="M69" s="12"/>
      <c r="N69" s="12"/>
      <c r="O69" s="35">
        <f t="shared" ref="O69:O74" si="62">F69*N69/100</f>
        <v>0</v>
      </c>
      <c r="P69" s="12"/>
      <c r="Q69" s="35"/>
      <c r="R69" s="35">
        <v>40</v>
      </c>
      <c r="S69" s="35">
        <f>(F69+H69+J69+L69+M69+O69+Q69)*R69/100</f>
        <v>29.348800000000001</v>
      </c>
      <c r="T69" s="35">
        <v>30</v>
      </c>
      <c r="U69" s="35">
        <f>(F69+H69+J69+L69+M69+O69+Q69+S69)*30/100</f>
        <v>30.816239999999997</v>
      </c>
      <c r="V69" s="35">
        <v>30</v>
      </c>
      <c r="W69" s="35">
        <f t="shared" ref="W69:W74" si="63">U69</f>
        <v>30.816239999999997</v>
      </c>
      <c r="X69" s="12">
        <f t="shared" ref="X69:X74" si="64">F69+H69+J69+L69+M69+O69+Q69+S69+U69+W69</f>
        <v>164.35327999999998</v>
      </c>
      <c r="Y69" s="65">
        <f t="shared" ref="Y69:Y74" si="65">3000/1970</f>
        <v>1.5228426395939085</v>
      </c>
      <c r="Z69" s="65">
        <f t="shared" ref="Z69:Z74" si="66">X69*0.06</f>
        <v>9.8611967999999983</v>
      </c>
      <c r="AA69" s="65">
        <f t="shared" ref="AA69:AA74" si="67">X69*0.07</f>
        <v>11.504729599999999</v>
      </c>
      <c r="AB69" s="65">
        <f t="shared" ref="AB69:AB74" si="68">X69+Y69+Z69+AA69</f>
        <v>187.24204903959387</v>
      </c>
      <c r="AC69" s="12">
        <f t="shared" ref="AC69:AC77" si="69">AB69*0.302</f>
        <v>56.547098809957347</v>
      </c>
      <c r="AD69" s="12"/>
      <c r="AE69" s="65">
        <f>AB69*1.013*0.05</f>
        <v>9.4838097838554294</v>
      </c>
      <c r="AF69" s="12"/>
      <c r="AG69" s="12"/>
      <c r="AH69" s="35"/>
      <c r="AI69" s="66"/>
      <c r="AJ69" s="66"/>
      <c r="AK69" s="66"/>
      <c r="AL69" s="65">
        <f>(AI69*9+AK69*3)/12</f>
        <v>0</v>
      </c>
      <c r="AM69" s="65">
        <f>AG69*AL69</f>
        <v>0</v>
      </c>
      <c r="AN69" s="12"/>
      <c r="AO69" s="12"/>
      <c r="AP69" s="12"/>
      <c r="AQ69" s="65"/>
      <c r="AR69" s="35"/>
      <c r="AS69" s="35"/>
      <c r="AT69" s="35"/>
      <c r="AU69" s="35"/>
      <c r="AV69" s="35"/>
      <c r="AW69" s="67"/>
      <c r="AX69" s="35">
        <v>48.62</v>
      </c>
      <c r="AY69" s="12">
        <v>17.510000000000002</v>
      </c>
      <c r="AZ69" s="12"/>
      <c r="BA69" s="12">
        <v>5.19</v>
      </c>
      <c r="BB69" s="12"/>
      <c r="BC69" s="169">
        <f>AB69+AC69+AD69+AM69+AQ69+AW69+AX69+AY69+AZ69+BA69+BB69+AB70+AC70</f>
        <v>491.26284896792686</v>
      </c>
      <c r="BD69" s="165">
        <f>AB69*0.2</f>
        <v>37.448409807918772</v>
      </c>
      <c r="BE69" s="169">
        <f>BC69+AE69+BD69</f>
        <v>538.19506855970099</v>
      </c>
      <c r="BF69" s="172">
        <f>BC69-AD69</f>
        <v>491.26284896792686</v>
      </c>
    </row>
    <row r="70" spans="1:58" ht="78.75">
      <c r="A70" s="28"/>
      <c r="B70" s="20"/>
      <c r="C70" s="7"/>
      <c r="D70" s="10" t="s">
        <v>159</v>
      </c>
      <c r="E70" s="32"/>
      <c r="F70" s="44">
        <v>106.3</v>
      </c>
      <c r="G70" s="12"/>
      <c r="H70" s="35">
        <f t="shared" si="59"/>
        <v>0</v>
      </c>
      <c r="I70" s="12"/>
      <c r="J70" s="35">
        <f t="shared" si="60"/>
        <v>0</v>
      </c>
      <c r="K70" s="12"/>
      <c r="L70" s="35">
        <f t="shared" si="61"/>
        <v>0</v>
      </c>
      <c r="M70" s="12"/>
      <c r="N70" s="12"/>
      <c r="O70" s="35">
        <f t="shared" si="62"/>
        <v>0</v>
      </c>
      <c r="P70" s="12"/>
      <c r="Q70" s="35"/>
      <c r="R70" s="35">
        <v>40</v>
      </c>
      <c r="S70" s="35">
        <f>(F70+H70+J70+L70+M70+O70+Q70)*R70/100*0.5</f>
        <v>21.26</v>
      </c>
      <c r="T70" s="35">
        <v>30</v>
      </c>
      <c r="U70" s="35">
        <f>((F70+H70+J70+L70+M70+O70+Q70)*0.5+S70)*30/100</f>
        <v>22.322999999999997</v>
      </c>
      <c r="V70" s="35">
        <v>30</v>
      </c>
      <c r="W70" s="35">
        <f t="shared" si="63"/>
        <v>22.322999999999997</v>
      </c>
      <c r="X70" s="12">
        <f>F70*0.5+H70+J70+L70+M70+O70+Q70+S70+U70+W70</f>
        <v>119.05599999999998</v>
      </c>
      <c r="Y70" s="65">
        <f>3000/1970/2</f>
        <v>0.76142131979695427</v>
      </c>
      <c r="Z70" s="65">
        <f t="shared" si="66"/>
        <v>7.1433599999999986</v>
      </c>
      <c r="AA70" s="65">
        <f t="shared" si="67"/>
        <v>8.3339199999999991</v>
      </c>
      <c r="AB70" s="65">
        <f t="shared" si="68"/>
        <v>135.29470131979693</v>
      </c>
      <c r="AC70" s="12">
        <f t="shared" si="69"/>
        <v>40.858999798578672</v>
      </c>
      <c r="AD70" s="12"/>
      <c r="AE70" s="65"/>
      <c r="AF70" s="12"/>
      <c r="AG70" s="12"/>
      <c r="AH70" s="35"/>
      <c r="AI70" s="66"/>
      <c r="AJ70" s="66"/>
      <c r="AK70" s="66"/>
      <c r="AL70" s="65"/>
      <c r="AM70" s="65"/>
      <c r="AN70" s="12"/>
      <c r="AO70" s="12"/>
      <c r="AP70" s="12"/>
      <c r="AQ70" s="65"/>
      <c r="AR70" s="35"/>
      <c r="AS70" s="35"/>
      <c r="AT70" s="35"/>
      <c r="AU70" s="35"/>
      <c r="AV70" s="35"/>
      <c r="AW70" s="67"/>
      <c r="AX70" s="35"/>
      <c r="AY70" s="12"/>
      <c r="AZ70" s="12"/>
      <c r="BA70" s="12"/>
      <c r="BB70" s="12"/>
      <c r="BC70" s="169"/>
      <c r="BD70" s="165"/>
      <c r="BE70" s="169"/>
      <c r="BF70" s="172"/>
    </row>
    <row r="71" spans="1:58" ht="85.5" customHeight="1">
      <c r="A71" s="28"/>
      <c r="B71" s="20" t="s">
        <v>151</v>
      </c>
      <c r="C71" s="7"/>
      <c r="D71" s="10" t="s">
        <v>153</v>
      </c>
      <c r="E71" s="32">
        <v>5</v>
      </c>
      <c r="F71" s="41">
        <v>70.55</v>
      </c>
      <c r="G71" s="12">
        <v>4</v>
      </c>
      <c r="H71" s="35">
        <f t="shared" si="59"/>
        <v>2.8220000000000001</v>
      </c>
      <c r="I71" s="12"/>
      <c r="J71" s="35">
        <f t="shared" si="60"/>
        <v>0</v>
      </c>
      <c r="K71" s="12"/>
      <c r="L71" s="35">
        <f t="shared" si="61"/>
        <v>0</v>
      </c>
      <c r="M71" s="12"/>
      <c r="N71" s="12"/>
      <c r="O71" s="35">
        <f t="shared" si="62"/>
        <v>0</v>
      </c>
      <c r="P71" s="12"/>
      <c r="Q71" s="35"/>
      <c r="R71" s="35">
        <v>40</v>
      </c>
      <c r="S71" s="35">
        <f>(F71+H71+J71+L71+M71+O71+Q71)*R71/100</f>
        <v>29.348800000000001</v>
      </c>
      <c r="T71" s="35">
        <v>30</v>
      </c>
      <c r="U71" s="35">
        <f>(F71+H71+J71+L71+M71+O71+Q71+S71)*30/100</f>
        <v>30.816239999999997</v>
      </c>
      <c r="V71" s="35">
        <v>30</v>
      </c>
      <c r="W71" s="35">
        <f t="shared" si="63"/>
        <v>30.816239999999997</v>
      </c>
      <c r="X71" s="12">
        <f t="shared" si="64"/>
        <v>164.35327999999998</v>
      </c>
      <c r="Y71" s="65">
        <f t="shared" si="65"/>
        <v>1.5228426395939085</v>
      </c>
      <c r="Z71" s="65">
        <f t="shared" si="66"/>
        <v>9.8611967999999983</v>
      </c>
      <c r="AA71" s="65">
        <f t="shared" si="67"/>
        <v>11.504729599999999</v>
      </c>
      <c r="AB71" s="65">
        <f t="shared" si="68"/>
        <v>187.24204903959387</v>
      </c>
      <c r="AC71" s="12">
        <f t="shared" si="69"/>
        <v>56.547098809957347</v>
      </c>
      <c r="AD71" s="12"/>
      <c r="AE71" s="65">
        <f t="shared" ref="AE71:AE77" si="70">AB71*1.013*0.05</f>
        <v>9.4838097838554294</v>
      </c>
      <c r="AF71" s="12"/>
      <c r="AG71" s="12"/>
      <c r="AH71" s="35"/>
      <c r="AI71" s="66"/>
      <c r="AJ71" s="66"/>
      <c r="AK71" s="66"/>
      <c r="AL71" s="65">
        <f>(AI71*9+AK71*3)/12</f>
        <v>0</v>
      </c>
      <c r="AM71" s="65">
        <f>AG71*AL71</f>
        <v>0</v>
      </c>
      <c r="AN71" s="12"/>
      <c r="AO71" s="12"/>
      <c r="AP71" s="12"/>
      <c r="AQ71" s="65"/>
      <c r="AR71" s="35"/>
      <c r="AS71" s="35"/>
      <c r="AT71" s="35"/>
      <c r="AU71" s="35"/>
      <c r="AV71" s="35"/>
      <c r="AW71" s="67"/>
      <c r="AX71" s="35">
        <v>48.62</v>
      </c>
      <c r="AY71" s="12">
        <v>17.510000000000002</v>
      </c>
      <c r="AZ71" s="12"/>
      <c r="BA71" s="12">
        <v>5.19</v>
      </c>
      <c r="BB71" s="31">
        <v>586.07000000000005</v>
      </c>
      <c r="BC71" s="169">
        <f>AB71+AC71+AD71+AM71+AQ71+AW71+AX71+AY71+AZ71+BA71+BB71+AB72+AC72</f>
        <v>1077.332848967927</v>
      </c>
      <c r="BD71" s="165">
        <f>AB71*0.2</f>
        <v>37.448409807918772</v>
      </c>
      <c r="BE71" s="169">
        <f>BC71+AE71+BD71</f>
        <v>1124.2650685597011</v>
      </c>
      <c r="BF71" s="172">
        <f>BC71-AD71</f>
        <v>1077.332848967927</v>
      </c>
    </row>
    <row r="72" spans="1:58" ht="78.75">
      <c r="A72" s="28"/>
      <c r="B72" s="20"/>
      <c r="C72" s="12"/>
      <c r="D72" s="10" t="s">
        <v>159</v>
      </c>
      <c r="E72" s="40"/>
      <c r="F72" s="44">
        <v>106.3</v>
      </c>
      <c r="G72" s="12"/>
      <c r="H72" s="35">
        <f>F72*G72/100</f>
        <v>0</v>
      </c>
      <c r="I72" s="12"/>
      <c r="J72" s="35">
        <f>F72*I72/100</f>
        <v>0</v>
      </c>
      <c r="K72" s="12"/>
      <c r="L72" s="35">
        <f>F72*K72/100</f>
        <v>0</v>
      </c>
      <c r="M72" s="12"/>
      <c r="N72" s="12"/>
      <c r="O72" s="35">
        <f>F72*N72/100</f>
        <v>0</v>
      </c>
      <c r="P72" s="12"/>
      <c r="Q72" s="35"/>
      <c r="R72" s="35">
        <v>40</v>
      </c>
      <c r="S72" s="35">
        <f>(F72+H72+J72+L72+M72+O72+Q72)*R72/100*0.5</f>
        <v>21.26</v>
      </c>
      <c r="T72" s="35">
        <v>30</v>
      </c>
      <c r="U72" s="35">
        <f>((F72+H72+J72+L72+M72+O72+Q72)*0.5+S72)*30/100</f>
        <v>22.322999999999997</v>
      </c>
      <c r="V72" s="35">
        <v>30</v>
      </c>
      <c r="W72" s="35">
        <f>U72</f>
        <v>22.322999999999997</v>
      </c>
      <c r="X72" s="12">
        <f>F72*0.5+H72+J72+L72+M72+O72+Q72+S72+U72+W72</f>
        <v>119.05599999999998</v>
      </c>
      <c r="Y72" s="65">
        <f>3000/1970/2</f>
        <v>0.76142131979695427</v>
      </c>
      <c r="Z72" s="65">
        <f>X72*0.06</f>
        <v>7.1433599999999986</v>
      </c>
      <c r="AA72" s="65">
        <f>X72*0.07</f>
        <v>8.3339199999999991</v>
      </c>
      <c r="AB72" s="65">
        <f>X72+Y72+Z72+AA72</f>
        <v>135.29470131979693</v>
      </c>
      <c r="AC72" s="12">
        <f t="shared" si="69"/>
        <v>40.858999798578672</v>
      </c>
      <c r="AD72" s="12"/>
      <c r="AE72" s="65"/>
      <c r="AF72" s="9"/>
      <c r="AG72" s="9"/>
      <c r="AH72" s="35"/>
      <c r="AI72" s="35"/>
      <c r="AJ72" s="35"/>
      <c r="AK72" s="35"/>
      <c r="AL72" s="65"/>
      <c r="AM72" s="65"/>
      <c r="AN72" s="12"/>
      <c r="AO72" s="12"/>
      <c r="AP72" s="12"/>
      <c r="AQ72" s="65"/>
      <c r="AR72" s="35"/>
      <c r="AS72" s="35"/>
      <c r="AT72" s="35"/>
      <c r="AU72" s="35"/>
      <c r="AV72" s="35"/>
      <c r="AW72" s="67"/>
      <c r="AX72" s="35"/>
      <c r="AY72" s="12"/>
      <c r="AZ72" s="12"/>
      <c r="BA72" s="12"/>
      <c r="BB72" s="12"/>
      <c r="BC72" s="169"/>
      <c r="BD72" s="165"/>
      <c r="BE72" s="169"/>
      <c r="BF72" s="172"/>
    </row>
    <row r="73" spans="1:58" ht="87.75" customHeight="1">
      <c r="A73" s="28" t="s">
        <v>68</v>
      </c>
      <c r="B73" s="20" t="s">
        <v>156</v>
      </c>
      <c r="C73" s="12"/>
      <c r="D73" s="20" t="s">
        <v>158</v>
      </c>
      <c r="E73" s="40">
        <v>5</v>
      </c>
      <c r="F73" s="41">
        <v>70.55</v>
      </c>
      <c r="G73" s="12">
        <v>4</v>
      </c>
      <c r="H73" s="35">
        <f t="shared" si="59"/>
        <v>2.8220000000000001</v>
      </c>
      <c r="I73" s="12"/>
      <c r="J73" s="35">
        <f t="shared" si="60"/>
        <v>0</v>
      </c>
      <c r="K73" s="12"/>
      <c r="L73" s="35">
        <f t="shared" si="61"/>
        <v>0</v>
      </c>
      <c r="M73" s="12"/>
      <c r="N73" s="12"/>
      <c r="O73" s="35">
        <f t="shared" si="62"/>
        <v>0</v>
      </c>
      <c r="P73" s="12"/>
      <c r="Q73" s="35"/>
      <c r="R73" s="35">
        <v>40</v>
      </c>
      <c r="S73" s="35">
        <f>(F73+H73+J73+L73+M73+O73+Q73)*R73/100</f>
        <v>29.348800000000001</v>
      </c>
      <c r="T73" s="35">
        <v>30</v>
      </c>
      <c r="U73" s="35">
        <f>(F73+H73+J73+L73+M73+O73+Q73+S73)*30/100</f>
        <v>30.816239999999997</v>
      </c>
      <c r="V73" s="35">
        <v>30</v>
      </c>
      <c r="W73" s="35">
        <f t="shared" si="63"/>
        <v>30.816239999999997</v>
      </c>
      <c r="X73" s="12">
        <f t="shared" si="64"/>
        <v>164.35327999999998</v>
      </c>
      <c r="Y73" s="65">
        <f t="shared" si="65"/>
        <v>1.5228426395939085</v>
      </c>
      <c r="Z73" s="65">
        <f t="shared" si="66"/>
        <v>9.8611967999999983</v>
      </c>
      <c r="AA73" s="65">
        <f t="shared" si="67"/>
        <v>11.504729599999999</v>
      </c>
      <c r="AB73" s="65">
        <f t="shared" si="68"/>
        <v>187.24204903959387</v>
      </c>
      <c r="AC73" s="12">
        <f t="shared" si="69"/>
        <v>56.547098809957347</v>
      </c>
      <c r="AD73" s="12">
        <f>AB73*0.268</f>
        <v>50.180869142611158</v>
      </c>
      <c r="AE73" s="65"/>
      <c r="AF73" s="12" t="s">
        <v>143</v>
      </c>
      <c r="AG73" s="35">
        <v>2.4900000000000002</v>
      </c>
      <c r="AH73" s="35">
        <v>5</v>
      </c>
      <c r="AI73" s="66">
        <v>5</v>
      </c>
      <c r="AJ73" s="66"/>
      <c r="AK73" s="66">
        <v>5</v>
      </c>
      <c r="AL73" s="65">
        <f>(AI73*9+AK73*3)/12</f>
        <v>5</v>
      </c>
      <c r="AM73" s="65">
        <f>AG73*AL73</f>
        <v>12.450000000000001</v>
      </c>
      <c r="AN73" s="12"/>
      <c r="AO73" s="12"/>
      <c r="AP73" s="12"/>
      <c r="AQ73" s="65"/>
      <c r="AR73" s="35"/>
      <c r="AS73" s="35"/>
      <c r="AT73" s="35"/>
      <c r="AU73" s="35"/>
      <c r="AV73" s="35"/>
      <c r="AW73" s="67"/>
      <c r="AX73" s="35">
        <v>48.62</v>
      </c>
      <c r="AY73" s="12">
        <v>17.510000000000002</v>
      </c>
      <c r="AZ73" s="12"/>
      <c r="BA73" s="12">
        <v>5.19</v>
      </c>
      <c r="BB73" s="12"/>
      <c r="BC73" s="169">
        <f>AB73+AC73+AD73+AM73+AQ73+AW73+AX73+AY73+AZ73+BA73+BB73+AB74+AC74</f>
        <v>630.82941125451373</v>
      </c>
      <c r="BD73" s="165">
        <f>AB73*0.2</f>
        <v>37.448409807918772</v>
      </c>
      <c r="BE73" s="169">
        <f>BC73+AE73+BD73+AE74</f>
        <v>668.27782106243251</v>
      </c>
      <c r="BF73" s="172">
        <f>BC73-AD73-AD74</f>
        <v>580.64854211190254</v>
      </c>
    </row>
    <row r="74" spans="1:58" ht="40.5" customHeight="1">
      <c r="A74" s="130"/>
      <c r="B74" s="20"/>
      <c r="C74" s="12"/>
      <c r="D74" s="20" t="s">
        <v>157</v>
      </c>
      <c r="E74" s="40">
        <v>5</v>
      </c>
      <c r="F74" s="41">
        <v>70.55</v>
      </c>
      <c r="G74" s="12">
        <v>8</v>
      </c>
      <c r="H74" s="35">
        <f t="shared" si="59"/>
        <v>5.6440000000000001</v>
      </c>
      <c r="I74" s="12"/>
      <c r="J74" s="35">
        <f t="shared" si="60"/>
        <v>0</v>
      </c>
      <c r="K74" s="12"/>
      <c r="L74" s="35">
        <f t="shared" si="61"/>
        <v>0</v>
      </c>
      <c r="M74" s="12"/>
      <c r="N74" s="12"/>
      <c r="O74" s="35">
        <f t="shared" si="62"/>
        <v>0</v>
      </c>
      <c r="P74" s="12"/>
      <c r="Q74" s="35"/>
      <c r="R74" s="35">
        <v>40</v>
      </c>
      <c r="S74" s="35">
        <f>(F74+H74+J74+L74+M74+O74+Q74)*R74/100</f>
        <v>30.477600000000002</v>
      </c>
      <c r="T74" s="35">
        <v>30</v>
      </c>
      <c r="U74" s="35">
        <f>(F74+H74+J74+L74+M74+O74+Q74+S74)*30/100</f>
        <v>32.001480000000001</v>
      </c>
      <c r="V74" s="35">
        <v>30</v>
      </c>
      <c r="W74" s="35">
        <f t="shared" si="63"/>
        <v>32.001480000000001</v>
      </c>
      <c r="X74" s="12">
        <f t="shared" si="64"/>
        <v>170.67456000000004</v>
      </c>
      <c r="Y74" s="65">
        <f t="shared" si="65"/>
        <v>1.5228426395939085</v>
      </c>
      <c r="Z74" s="65">
        <f t="shared" si="66"/>
        <v>10.240473600000001</v>
      </c>
      <c r="AA74" s="65">
        <f t="shared" si="67"/>
        <v>11.947219200000005</v>
      </c>
      <c r="AB74" s="65">
        <f t="shared" si="68"/>
        <v>194.38509543959395</v>
      </c>
      <c r="AC74" s="12">
        <f t="shared" si="69"/>
        <v>58.704298822757373</v>
      </c>
      <c r="AD74" s="12"/>
      <c r="AE74" s="65"/>
      <c r="AF74" s="12"/>
      <c r="AG74" s="12"/>
      <c r="AH74" s="35"/>
      <c r="AI74" s="66"/>
      <c r="AJ74" s="66"/>
      <c r="AK74" s="66"/>
      <c r="AL74" s="65"/>
      <c r="AM74" s="65"/>
      <c r="AN74" s="12"/>
      <c r="AO74" s="12"/>
      <c r="AP74" s="12"/>
      <c r="AQ74" s="65"/>
      <c r="AR74" s="35"/>
      <c r="AS74" s="35"/>
      <c r="AT74" s="35"/>
      <c r="AU74" s="35"/>
      <c r="AV74" s="35"/>
      <c r="AW74" s="67"/>
      <c r="AX74" s="35"/>
      <c r="AY74" s="12"/>
      <c r="AZ74" s="12"/>
      <c r="BA74" s="12"/>
      <c r="BB74" s="12"/>
      <c r="BC74" s="169"/>
      <c r="BD74" s="165"/>
      <c r="BE74" s="173"/>
      <c r="BF74" s="172"/>
    </row>
    <row r="75" spans="1:58" ht="91.5" customHeight="1">
      <c r="A75" s="28" t="s">
        <v>183</v>
      </c>
      <c r="B75" s="48" t="s">
        <v>165</v>
      </c>
      <c r="C75" s="48" t="s">
        <v>166</v>
      </c>
      <c r="D75" s="10" t="s">
        <v>120</v>
      </c>
      <c r="E75" s="40">
        <v>4</v>
      </c>
      <c r="F75" s="41">
        <v>56.44</v>
      </c>
      <c r="G75" s="35">
        <v>8</v>
      </c>
      <c r="H75" s="35">
        <f>F75*G75/100</f>
        <v>4.5152000000000001</v>
      </c>
      <c r="I75" s="35"/>
      <c r="J75" s="35">
        <f>F75*I75/100</f>
        <v>0</v>
      </c>
      <c r="K75" s="35">
        <v>0</v>
      </c>
      <c r="L75" s="35">
        <f>F75*K75/100</f>
        <v>0</v>
      </c>
      <c r="M75" s="35">
        <v>0</v>
      </c>
      <c r="N75" s="35">
        <v>0</v>
      </c>
      <c r="O75" s="35">
        <f>F75*N75/100</f>
        <v>0</v>
      </c>
      <c r="P75" s="35"/>
      <c r="Q75" s="35"/>
      <c r="R75" s="35">
        <v>40</v>
      </c>
      <c r="S75" s="35">
        <f>(F75+H75+J75+L75+M75+O75+Q75)*R75/100</f>
        <v>24.382080000000002</v>
      </c>
      <c r="T75" s="35">
        <v>30</v>
      </c>
      <c r="U75" s="35">
        <f>(F75+H75+J75+L75+M75+O75+Q75+S75)*30/100</f>
        <v>25.601184</v>
      </c>
      <c r="V75" s="35">
        <v>30</v>
      </c>
      <c r="W75" s="35">
        <f>U75</f>
        <v>25.601184</v>
      </c>
      <c r="X75" s="12">
        <f>F75+H75+J75+L75+M75+O75+Q75+S75+U75+W75</f>
        <v>136.539648</v>
      </c>
      <c r="Y75" s="65">
        <f>3000/1970</f>
        <v>1.5228426395939085</v>
      </c>
      <c r="Z75" s="65">
        <f>(X75-S75*1.6)*0.06</f>
        <v>5.8516991999999997</v>
      </c>
      <c r="AA75" s="65">
        <f t="shared" ref="AA75:AA88" si="71">X75*0.07</f>
        <v>9.5577753600000008</v>
      </c>
      <c r="AB75" s="65">
        <f t="shared" ref="AB75:AB88" si="72">X75+Y75+Z75+AA75</f>
        <v>153.47196519959391</v>
      </c>
      <c r="AC75" s="12">
        <f t="shared" si="69"/>
        <v>46.348533490277362</v>
      </c>
      <c r="AD75" s="12">
        <f>AB75*0.098</f>
        <v>15.040252589560204</v>
      </c>
      <c r="AE75" s="65">
        <f t="shared" si="70"/>
        <v>7.7733550373594316</v>
      </c>
      <c r="AF75" s="9" t="s">
        <v>167</v>
      </c>
      <c r="AG75" s="35">
        <v>32.83</v>
      </c>
      <c r="AH75" s="67">
        <v>10.5</v>
      </c>
      <c r="AI75" s="66">
        <v>10.5</v>
      </c>
      <c r="AJ75" s="69">
        <v>11.235000000000001</v>
      </c>
      <c r="AK75" s="66">
        <v>12.074999999999999</v>
      </c>
      <c r="AL75" s="65">
        <f>(AI75*7+AJ75*2+AK75*3)/12</f>
        <v>11.016249999999999</v>
      </c>
      <c r="AM75" s="65">
        <f>AG75*AL75</f>
        <v>361.66348749999997</v>
      </c>
      <c r="AN75" s="29" t="s">
        <v>73</v>
      </c>
      <c r="AO75" s="29">
        <v>52.25</v>
      </c>
      <c r="AP75" s="71">
        <v>4.5</v>
      </c>
      <c r="AQ75" s="65">
        <f>AL75*AP75/100*AO75</f>
        <v>25.901957812499997</v>
      </c>
      <c r="AR75" s="29">
        <v>33000</v>
      </c>
      <c r="AS75" s="29">
        <v>23</v>
      </c>
      <c r="AT75" s="29" t="s">
        <v>168</v>
      </c>
      <c r="AU75" s="29">
        <v>3231</v>
      </c>
      <c r="AV75" s="29">
        <v>2</v>
      </c>
      <c r="AW75" s="30">
        <f>AU75*AV75/AR75*AS75</f>
        <v>4.5038181818181817</v>
      </c>
      <c r="AX75" s="35">
        <v>48.62</v>
      </c>
      <c r="AY75" s="12">
        <v>17.510000000000002</v>
      </c>
      <c r="AZ75" s="12">
        <v>138.38</v>
      </c>
      <c r="BA75" s="12">
        <v>5.19</v>
      </c>
      <c r="BB75" s="12"/>
      <c r="BC75" s="169">
        <f>AB75+AC75+AD75+AM75+AQ75+AW75+AX75+AY75+AZ75+BA75+BB75</f>
        <v>816.63001477374962</v>
      </c>
      <c r="BD75" s="165">
        <f>AB75*0.2</f>
        <v>30.694393039918783</v>
      </c>
      <c r="BE75" s="169">
        <f>BC75+AE75+BD75</f>
        <v>855.09776285102782</v>
      </c>
      <c r="BF75" s="172">
        <f>BC75-AD75</f>
        <v>801.58976218418945</v>
      </c>
    </row>
    <row r="76" spans="1:58" ht="92.25" customHeight="1">
      <c r="A76" s="28" t="s">
        <v>184</v>
      </c>
      <c r="B76" s="48" t="s">
        <v>165</v>
      </c>
      <c r="C76" s="48" t="s">
        <v>169</v>
      </c>
      <c r="D76" s="10" t="s">
        <v>120</v>
      </c>
      <c r="E76" s="40">
        <v>4</v>
      </c>
      <c r="F76" s="41">
        <v>56.44</v>
      </c>
      <c r="G76" s="35">
        <v>8</v>
      </c>
      <c r="H76" s="35">
        <f>F76*G76/100</f>
        <v>4.5152000000000001</v>
      </c>
      <c r="I76" s="35"/>
      <c r="J76" s="35">
        <f>F76*I76/100</f>
        <v>0</v>
      </c>
      <c r="K76" s="35">
        <v>0</v>
      </c>
      <c r="L76" s="35">
        <f>F76*K76/100</f>
        <v>0</v>
      </c>
      <c r="M76" s="35">
        <v>0</v>
      </c>
      <c r="N76" s="35">
        <v>0</v>
      </c>
      <c r="O76" s="35">
        <f>F76*N76/100</f>
        <v>0</v>
      </c>
      <c r="P76" s="35"/>
      <c r="Q76" s="35"/>
      <c r="R76" s="35">
        <v>40</v>
      </c>
      <c r="S76" s="35">
        <f>(F76+H76+J76+L76+M76+O76+Q76)*R76/100</f>
        <v>24.382080000000002</v>
      </c>
      <c r="T76" s="35">
        <v>30</v>
      </c>
      <c r="U76" s="35">
        <f>(F76+H76+J76+L76+M76+O76+Q76+S76)*30/100</f>
        <v>25.601184</v>
      </c>
      <c r="V76" s="35">
        <v>30</v>
      </c>
      <c r="W76" s="35">
        <f>U76</f>
        <v>25.601184</v>
      </c>
      <c r="X76" s="12">
        <f>F76+H76+J76+L76+M76+O76+Q76+S76+U76+W76</f>
        <v>136.539648</v>
      </c>
      <c r="Y76" s="65">
        <f>3000/1970</f>
        <v>1.5228426395939085</v>
      </c>
      <c r="Z76" s="65">
        <f>(X76-S76*1.6)*0.06</f>
        <v>5.8516991999999997</v>
      </c>
      <c r="AA76" s="65">
        <f t="shared" si="71"/>
        <v>9.5577753600000008</v>
      </c>
      <c r="AB76" s="65">
        <f t="shared" si="72"/>
        <v>153.47196519959391</v>
      </c>
      <c r="AC76" s="12">
        <f t="shared" si="69"/>
        <v>46.348533490277362</v>
      </c>
      <c r="AD76" s="12">
        <f>AB76*0.098</f>
        <v>15.040252589560204</v>
      </c>
      <c r="AE76" s="65">
        <f t="shared" si="70"/>
        <v>7.7733550373594316</v>
      </c>
      <c r="AF76" s="9" t="s">
        <v>167</v>
      </c>
      <c r="AG76" s="35">
        <v>32.83</v>
      </c>
      <c r="AH76" s="67">
        <v>10.5</v>
      </c>
      <c r="AI76" s="66">
        <v>10.5</v>
      </c>
      <c r="AJ76" s="69">
        <v>11.235000000000001</v>
      </c>
      <c r="AK76" s="66">
        <v>12.074999999999999</v>
      </c>
      <c r="AL76" s="65">
        <f>(AI76*7+AJ76*2+AK76*3)/12</f>
        <v>11.016249999999999</v>
      </c>
      <c r="AM76" s="65">
        <f>AG76*AL76</f>
        <v>361.66348749999997</v>
      </c>
      <c r="AN76" s="29" t="s">
        <v>73</v>
      </c>
      <c r="AO76" s="29">
        <v>52.25</v>
      </c>
      <c r="AP76" s="71">
        <v>4.5</v>
      </c>
      <c r="AQ76" s="65">
        <f>AL76*AP76/100*AO76</f>
        <v>25.901957812499997</v>
      </c>
      <c r="AR76" s="29">
        <v>33000</v>
      </c>
      <c r="AS76" s="29">
        <v>23</v>
      </c>
      <c r="AT76" s="29" t="s">
        <v>168</v>
      </c>
      <c r="AU76" s="29">
        <v>3231</v>
      </c>
      <c r="AV76" s="29">
        <v>2</v>
      </c>
      <c r="AW76" s="30">
        <f>AU76*AV76/AR76*AS76</f>
        <v>4.5038181818181817</v>
      </c>
      <c r="AX76" s="35">
        <v>48.62</v>
      </c>
      <c r="AY76" s="12">
        <v>17.510000000000002</v>
      </c>
      <c r="AZ76" s="12">
        <v>138.38</v>
      </c>
      <c r="BA76" s="12">
        <v>5.19</v>
      </c>
      <c r="BB76" s="12"/>
      <c r="BC76" s="169">
        <f>AB76+AC76+AD76+AM76+AQ76+AW76+AX76+AY76+AZ76+BA76+BB76</f>
        <v>816.63001477374962</v>
      </c>
      <c r="BD76" s="165">
        <f>AB76*0.2</f>
        <v>30.694393039918783</v>
      </c>
      <c r="BE76" s="169">
        <f>BC76+AE76+BD76</f>
        <v>855.09776285102782</v>
      </c>
      <c r="BF76" s="172">
        <f>BC76-AD76</f>
        <v>801.58976218418945</v>
      </c>
    </row>
    <row r="77" spans="1:58" ht="83.25" customHeight="1">
      <c r="A77" s="28" t="s">
        <v>185</v>
      </c>
      <c r="B77" s="48" t="s">
        <v>170</v>
      </c>
      <c r="C77" s="48" t="s">
        <v>171</v>
      </c>
      <c r="D77" s="104" t="s">
        <v>200</v>
      </c>
      <c r="E77" s="40">
        <v>5</v>
      </c>
      <c r="F77" s="41">
        <v>70.55</v>
      </c>
      <c r="G77" s="89">
        <v>4</v>
      </c>
      <c r="H77" s="67">
        <f>F77*G77/100</f>
        <v>2.8220000000000001</v>
      </c>
      <c r="I77" s="35"/>
      <c r="J77" s="35">
        <f>F77*I77/100</f>
        <v>0</v>
      </c>
      <c r="K77" s="35">
        <v>0</v>
      </c>
      <c r="L77" s="35">
        <f>F77*K77/100</f>
        <v>0</v>
      </c>
      <c r="M77" s="35">
        <v>0</v>
      </c>
      <c r="N77" s="35">
        <v>0</v>
      </c>
      <c r="O77" s="35">
        <f>F77*N77/100</f>
        <v>0</v>
      </c>
      <c r="P77" s="35"/>
      <c r="Q77" s="35"/>
      <c r="R77" s="35">
        <v>40</v>
      </c>
      <c r="S77" s="35">
        <f>(F77+H77+J77+L77+M77+O77+Q77)*R77/100</f>
        <v>29.348800000000001</v>
      </c>
      <c r="T77" s="35">
        <v>30</v>
      </c>
      <c r="U77" s="35">
        <f>(F77+H77+J77+L77+M77+O77+Q77+S77)*30/100</f>
        <v>30.816239999999997</v>
      </c>
      <c r="V77" s="35">
        <v>30</v>
      </c>
      <c r="W77" s="35">
        <f>U77</f>
        <v>30.816239999999997</v>
      </c>
      <c r="X77" s="90">
        <f>(F77+H77+J77+L77+M77+O77+Q77+S77+U77+W77)*2</f>
        <v>328.70655999999997</v>
      </c>
      <c r="Y77" s="90">
        <f>3000/1970*2</f>
        <v>3.0456852791878171</v>
      </c>
      <c r="Z77" s="65">
        <f>(X77-S77*2*1.6)*0.06</f>
        <v>14.087423999999999</v>
      </c>
      <c r="AA77" s="65">
        <f t="shared" si="71"/>
        <v>23.009459199999998</v>
      </c>
      <c r="AB77" s="65">
        <f t="shared" si="72"/>
        <v>368.84912847918775</v>
      </c>
      <c r="AC77" s="12">
        <f t="shared" si="69"/>
        <v>111.39243680071471</v>
      </c>
      <c r="AD77" s="12">
        <f>AB77*0.098</f>
        <v>36.147214590960402</v>
      </c>
      <c r="AE77" s="65">
        <f t="shared" si="70"/>
        <v>18.682208357470859</v>
      </c>
      <c r="AF77" s="9" t="s">
        <v>167</v>
      </c>
      <c r="AG77" s="35">
        <v>32.83</v>
      </c>
      <c r="AH77" s="67">
        <v>1.67</v>
      </c>
      <c r="AI77" s="66">
        <v>1.67</v>
      </c>
      <c r="AJ77" s="69">
        <v>1.7868999999999999</v>
      </c>
      <c r="AK77" s="66">
        <v>1.9204999999999999</v>
      </c>
      <c r="AL77" s="65">
        <f>(AI77*7+AJ77*2+AK77*3)/12</f>
        <v>1.7521083333333334</v>
      </c>
      <c r="AM77" s="65">
        <f>AG77*AL77</f>
        <v>57.52171658333333</v>
      </c>
      <c r="AN77" s="29" t="s">
        <v>73</v>
      </c>
      <c r="AO77" s="29">
        <v>52.25</v>
      </c>
      <c r="AP77" s="71">
        <v>4.5</v>
      </c>
      <c r="AQ77" s="65">
        <f>AL77*AP77/100*AO77</f>
        <v>4.11964471875</v>
      </c>
      <c r="AR77" s="29">
        <v>33000</v>
      </c>
      <c r="AS77" s="29">
        <v>23</v>
      </c>
      <c r="AT77" s="29" t="s">
        <v>168</v>
      </c>
      <c r="AU77" s="29">
        <v>3231</v>
      </c>
      <c r="AV77" s="29">
        <v>2</v>
      </c>
      <c r="AW77" s="30">
        <f>AU77*AV77/AR77*AS77</f>
        <v>4.5038181818181817</v>
      </c>
      <c r="AX77" s="35">
        <v>48.62</v>
      </c>
      <c r="AY77" s="12">
        <v>17.510000000000002</v>
      </c>
      <c r="AZ77" s="12">
        <v>161.22</v>
      </c>
      <c r="BA77" s="12">
        <v>5.19</v>
      </c>
      <c r="BB77" s="12"/>
      <c r="BC77" s="169">
        <f>AB77+AC77+AD77+AM77+AQ77+AW77+AX77+AY77+AZ77+BA77+BB77</f>
        <v>815.07395935476438</v>
      </c>
      <c r="BD77" s="165">
        <f>AB77*0.2</f>
        <v>73.769825695837554</v>
      </c>
      <c r="BE77" s="169">
        <f>BC77+AE77+BD77</f>
        <v>907.52599340807274</v>
      </c>
      <c r="BF77" s="172">
        <f>BC77-AD77</f>
        <v>778.92674476380398</v>
      </c>
    </row>
    <row r="78" spans="1:58" ht="79.5" customHeight="1">
      <c r="A78" s="28" t="s">
        <v>186</v>
      </c>
      <c r="B78" s="20" t="s">
        <v>172</v>
      </c>
      <c r="C78" s="7"/>
      <c r="D78" s="10"/>
      <c r="E78" s="40"/>
      <c r="F78" s="41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12"/>
      <c r="Y78" s="65"/>
      <c r="Z78" s="65"/>
      <c r="AA78" s="65"/>
      <c r="AB78" s="65"/>
      <c r="AC78" s="12"/>
      <c r="AD78" s="12"/>
      <c r="AE78" s="12"/>
      <c r="AF78" s="12"/>
      <c r="AG78" s="12"/>
      <c r="AH78" s="35"/>
      <c r="AI78" s="66"/>
      <c r="AJ78" s="66"/>
      <c r="AK78" s="66"/>
      <c r="AL78" s="65"/>
      <c r="AM78" s="65"/>
      <c r="AN78" s="12"/>
      <c r="AO78" s="12"/>
      <c r="AP78" s="12"/>
      <c r="AQ78" s="65"/>
      <c r="AR78" s="35"/>
      <c r="AS78" s="35"/>
      <c r="AT78" s="35"/>
      <c r="AU78" s="35"/>
      <c r="AV78" s="35"/>
      <c r="AW78" s="67"/>
      <c r="AX78" s="35"/>
      <c r="AY78" s="12"/>
      <c r="AZ78" s="35"/>
      <c r="BA78" s="12"/>
      <c r="BB78" s="12"/>
      <c r="BC78" s="169"/>
      <c r="BD78" s="165"/>
      <c r="BE78" s="169"/>
      <c r="BF78" s="172"/>
    </row>
    <row r="79" spans="1:58" ht="62.25" customHeight="1">
      <c r="A79" s="28"/>
      <c r="B79" s="20" t="s">
        <v>149</v>
      </c>
      <c r="C79" s="7"/>
      <c r="D79" s="20" t="s">
        <v>173</v>
      </c>
      <c r="E79" s="40">
        <v>5</v>
      </c>
      <c r="F79" s="41">
        <v>77.14</v>
      </c>
      <c r="G79" s="35">
        <v>6</v>
      </c>
      <c r="H79" s="35">
        <f t="shared" ref="H79:H85" si="73">F79*G79/100</f>
        <v>4.6284000000000001</v>
      </c>
      <c r="I79" s="35"/>
      <c r="J79" s="35">
        <f t="shared" ref="J79:J85" si="74">F79*I79/100</f>
        <v>0</v>
      </c>
      <c r="K79" s="35">
        <v>0</v>
      </c>
      <c r="L79" s="35">
        <f t="shared" ref="L79:L85" si="75">F79*K79/100</f>
        <v>0</v>
      </c>
      <c r="M79" s="35">
        <v>0</v>
      </c>
      <c r="N79" s="35">
        <v>0</v>
      </c>
      <c r="O79" s="35">
        <f t="shared" ref="O79:O85" si="76">F79*N79/100</f>
        <v>0</v>
      </c>
      <c r="P79" s="35"/>
      <c r="Q79" s="35"/>
      <c r="R79" s="35">
        <v>40</v>
      </c>
      <c r="S79" s="35">
        <f t="shared" ref="S79:S85" si="77">(F79+H79+J79+L79+M79+O79+Q79)*R79/100</f>
        <v>32.707360000000001</v>
      </c>
      <c r="T79" s="35">
        <v>30</v>
      </c>
      <c r="U79" s="35">
        <f t="shared" ref="U79:U85" si="78">(F79+H79+J79+L79+M79+O79+Q79+S79)*30/100</f>
        <v>34.342728000000001</v>
      </c>
      <c r="V79" s="35">
        <v>30</v>
      </c>
      <c r="W79" s="35">
        <f t="shared" ref="W79:W85" si="79">U79</f>
        <v>34.342728000000001</v>
      </c>
      <c r="X79" s="12">
        <f>(F79+H79+J79+L79+M79+O79+Q79+S79+U79+W79)*3</f>
        <v>549.48364800000002</v>
      </c>
      <c r="Y79" s="65">
        <f>3000/1970*3</f>
        <v>4.5685279187817258</v>
      </c>
      <c r="Z79" s="65">
        <f>(X79-S79*1.6*2)*0.06</f>
        <v>26.68920576</v>
      </c>
      <c r="AA79" s="65">
        <f t="shared" si="71"/>
        <v>38.463855360000004</v>
      </c>
      <c r="AB79" s="65">
        <f t="shared" si="72"/>
        <v>619.20523703878177</v>
      </c>
      <c r="AC79" s="12">
        <f t="shared" ref="AC79:AC91" si="80">AB79*0.302</f>
        <v>186.99998158571208</v>
      </c>
      <c r="AD79" s="12"/>
      <c r="AE79" s="65">
        <f t="shared" ref="AE79:AE91" si="81">AB79*1.013*0.05</f>
        <v>31.362745256014296</v>
      </c>
      <c r="AF79" s="12"/>
      <c r="AG79" s="12"/>
      <c r="AH79" s="35"/>
      <c r="AI79" s="66"/>
      <c r="AJ79" s="66"/>
      <c r="AK79" s="66"/>
      <c r="AL79" s="65">
        <f>(AI79*9+AK79*3)/12</f>
        <v>0</v>
      </c>
      <c r="AM79" s="65">
        <f>AG79*AL79</f>
        <v>0</v>
      </c>
      <c r="AN79" s="12"/>
      <c r="AO79" s="12"/>
      <c r="AP79" s="12"/>
      <c r="AQ79" s="65"/>
      <c r="AR79" s="35"/>
      <c r="AS79" s="35"/>
      <c r="AT79" s="35"/>
      <c r="AU79" s="35"/>
      <c r="AV79" s="35"/>
      <c r="AW79" s="67"/>
      <c r="AX79" s="35">
        <v>48.62</v>
      </c>
      <c r="AY79" s="12">
        <v>17.510000000000002</v>
      </c>
      <c r="AZ79" s="35"/>
      <c r="BA79" s="12">
        <v>5.19</v>
      </c>
      <c r="BB79" s="12"/>
      <c r="BC79" s="169">
        <f>AB79+AC79+AD79+AM79+AQ79+AW79+AX79+AY79+AZ79+BA79+BB79+AB80+AC80</f>
        <v>1114.7477575972453</v>
      </c>
      <c r="BD79" s="165">
        <f>(AB79+AB80)*0.2</f>
        <v>160.28076153567514</v>
      </c>
      <c r="BE79" s="169">
        <f>BC79+AE79+BD79+AE80</f>
        <v>1315.6196219918299</v>
      </c>
      <c r="BF79" s="172">
        <f>BC79-AD79-AD80</f>
        <v>1114.7477575972453</v>
      </c>
    </row>
    <row r="80" spans="1:58" ht="40.5" customHeight="1">
      <c r="A80" s="28"/>
      <c r="B80" s="20"/>
      <c r="C80" s="7"/>
      <c r="D80" s="20" t="s">
        <v>174</v>
      </c>
      <c r="E80" s="40">
        <v>4</v>
      </c>
      <c r="F80" s="41">
        <v>70.55</v>
      </c>
      <c r="G80" s="35">
        <v>6</v>
      </c>
      <c r="H80" s="35">
        <f t="shared" si="73"/>
        <v>4.2329999999999997</v>
      </c>
      <c r="I80" s="35"/>
      <c r="J80" s="35">
        <f t="shared" si="74"/>
        <v>0</v>
      </c>
      <c r="K80" s="35">
        <v>0</v>
      </c>
      <c r="L80" s="35">
        <f t="shared" si="75"/>
        <v>0</v>
      </c>
      <c r="M80" s="35">
        <v>0</v>
      </c>
      <c r="N80" s="35">
        <v>0</v>
      </c>
      <c r="O80" s="35">
        <f t="shared" si="76"/>
        <v>0</v>
      </c>
      <c r="P80" s="35"/>
      <c r="Q80" s="35"/>
      <c r="R80" s="35">
        <v>40</v>
      </c>
      <c r="S80" s="35">
        <f t="shared" si="77"/>
        <v>29.913200000000003</v>
      </c>
      <c r="T80" s="35">
        <v>30</v>
      </c>
      <c r="U80" s="35">
        <f t="shared" si="78"/>
        <v>31.408860000000001</v>
      </c>
      <c r="V80" s="35">
        <v>30</v>
      </c>
      <c r="W80" s="35">
        <f t="shared" si="79"/>
        <v>31.408860000000001</v>
      </c>
      <c r="X80" s="12">
        <f>(F80+H80+J80+L80+M80+O80+Q80+S80+U80+W80)*1</f>
        <v>167.51392000000001</v>
      </c>
      <c r="Y80" s="65">
        <f>3000/1970*1</f>
        <v>1.5228426395939085</v>
      </c>
      <c r="Z80" s="65">
        <f>(X80-S80*1.6*3)*0.06</f>
        <v>1.4358335999999992</v>
      </c>
      <c r="AA80" s="65">
        <f t="shared" si="71"/>
        <v>11.725974400000002</v>
      </c>
      <c r="AB80" s="65">
        <f t="shared" si="72"/>
        <v>182.19857063959392</v>
      </c>
      <c r="AC80" s="12">
        <f t="shared" si="80"/>
        <v>55.023968333157363</v>
      </c>
      <c r="AD80" s="12"/>
      <c r="AE80" s="65">
        <f t="shared" si="81"/>
        <v>9.2283576028954322</v>
      </c>
      <c r="AF80" s="12"/>
      <c r="AG80" s="12"/>
      <c r="AH80" s="35"/>
      <c r="AI80" s="66"/>
      <c r="AJ80" s="66"/>
      <c r="AK80" s="66"/>
      <c r="AL80" s="65"/>
      <c r="AM80" s="65"/>
      <c r="AN80" s="12"/>
      <c r="AO80" s="12"/>
      <c r="AP80" s="12"/>
      <c r="AQ80" s="65"/>
      <c r="AR80" s="35"/>
      <c r="AS80" s="35"/>
      <c r="AT80" s="35"/>
      <c r="AU80" s="35"/>
      <c r="AV80" s="35"/>
      <c r="AW80" s="67"/>
      <c r="AX80" s="35"/>
      <c r="AY80" s="12"/>
      <c r="AZ80" s="35"/>
      <c r="BA80" s="12"/>
      <c r="BB80" s="12"/>
      <c r="BC80" s="169"/>
      <c r="BD80" s="165"/>
      <c r="BE80" s="169"/>
      <c r="BF80" s="172"/>
    </row>
    <row r="81" spans="1:58" ht="53.25" customHeight="1">
      <c r="A81" s="28"/>
      <c r="B81" s="20" t="s">
        <v>155</v>
      </c>
      <c r="C81" s="7"/>
      <c r="D81" s="20" t="s">
        <v>173</v>
      </c>
      <c r="E81" s="40">
        <v>5</v>
      </c>
      <c r="F81" s="41">
        <v>77.14</v>
      </c>
      <c r="G81" s="35">
        <v>6</v>
      </c>
      <c r="H81" s="35">
        <f t="shared" si="73"/>
        <v>4.6284000000000001</v>
      </c>
      <c r="I81" s="35"/>
      <c r="J81" s="35">
        <f t="shared" si="74"/>
        <v>0</v>
      </c>
      <c r="K81" s="35">
        <v>0</v>
      </c>
      <c r="L81" s="35">
        <f t="shared" si="75"/>
        <v>0</v>
      </c>
      <c r="M81" s="35">
        <v>0</v>
      </c>
      <c r="N81" s="35">
        <v>0</v>
      </c>
      <c r="O81" s="35">
        <f t="shared" si="76"/>
        <v>0</v>
      </c>
      <c r="P81" s="35"/>
      <c r="Q81" s="35"/>
      <c r="R81" s="35">
        <v>40</v>
      </c>
      <c r="S81" s="35">
        <f t="shared" si="77"/>
        <v>32.707360000000001</v>
      </c>
      <c r="T81" s="35">
        <v>30</v>
      </c>
      <c r="U81" s="35">
        <f t="shared" si="78"/>
        <v>34.342728000000001</v>
      </c>
      <c r="V81" s="35">
        <v>30</v>
      </c>
      <c r="W81" s="35">
        <f t="shared" si="79"/>
        <v>34.342728000000001</v>
      </c>
      <c r="X81" s="12">
        <f>(F81+H81+J81+L81+M81+O81+Q81+S81+U81+W81)*3</f>
        <v>549.48364800000002</v>
      </c>
      <c r="Y81" s="65">
        <f>3000/1970*3</f>
        <v>4.5685279187817258</v>
      </c>
      <c r="Z81" s="65">
        <f>(X81-S81*1.6*2)*0.06</f>
        <v>26.68920576</v>
      </c>
      <c r="AA81" s="65">
        <f t="shared" si="71"/>
        <v>38.463855360000004</v>
      </c>
      <c r="AB81" s="65">
        <f t="shared" si="72"/>
        <v>619.20523703878177</v>
      </c>
      <c r="AC81" s="12">
        <f t="shared" si="80"/>
        <v>186.99998158571208</v>
      </c>
      <c r="AD81" s="12">
        <f>AB81*0.268</f>
        <v>165.94700352639353</v>
      </c>
      <c r="AE81" s="65">
        <f t="shared" si="81"/>
        <v>31.362745256014296</v>
      </c>
      <c r="AF81" s="12"/>
      <c r="AG81" s="12"/>
      <c r="AH81" s="35"/>
      <c r="AI81" s="66"/>
      <c r="AJ81" s="66"/>
      <c r="AK81" s="66"/>
      <c r="AL81" s="65">
        <f>(AI81*9+AK81*3)/12</f>
        <v>0</v>
      </c>
      <c r="AM81" s="65">
        <f>AG81*AL81</f>
        <v>0</v>
      </c>
      <c r="AN81" s="12"/>
      <c r="AO81" s="12"/>
      <c r="AP81" s="12"/>
      <c r="AQ81" s="65"/>
      <c r="AR81" s="35"/>
      <c r="AS81" s="35"/>
      <c r="AT81" s="35"/>
      <c r="AU81" s="35"/>
      <c r="AV81" s="35"/>
      <c r="AW81" s="67"/>
      <c r="AX81" s="35">
        <v>48.62</v>
      </c>
      <c r="AY81" s="12">
        <v>17.510000000000002</v>
      </c>
      <c r="AZ81" s="35"/>
      <c r="BA81" s="12">
        <v>5.19</v>
      </c>
      <c r="BB81" s="31">
        <v>1395.24</v>
      </c>
      <c r="BC81" s="169">
        <f>AB81+AC81+AD81+AM81+AQ81+AW81+AX81+AY81+AZ81+BA81+BB81+AB82+AC82</f>
        <v>2675.934761123639</v>
      </c>
      <c r="BD81" s="165">
        <f>(AB81+AB82)*0.2</f>
        <v>160.28076153567514</v>
      </c>
      <c r="BE81" s="169">
        <f>BC81+AE81+BD81</f>
        <v>2867.5782679153285</v>
      </c>
      <c r="BF81" s="172">
        <f>BC81-AD81-AD82</f>
        <v>2509.9877575972455</v>
      </c>
    </row>
    <row r="82" spans="1:58" ht="22.5" customHeight="1">
      <c r="A82" s="28"/>
      <c r="B82" s="20"/>
      <c r="C82" s="7"/>
      <c r="D82" s="20" t="s">
        <v>174</v>
      </c>
      <c r="E82" s="40">
        <v>4</v>
      </c>
      <c r="F82" s="41">
        <v>70.55</v>
      </c>
      <c r="G82" s="35">
        <v>6</v>
      </c>
      <c r="H82" s="35">
        <f t="shared" si="73"/>
        <v>4.2329999999999997</v>
      </c>
      <c r="I82" s="35"/>
      <c r="J82" s="35">
        <f t="shared" si="74"/>
        <v>0</v>
      </c>
      <c r="K82" s="35">
        <v>0</v>
      </c>
      <c r="L82" s="35">
        <f t="shared" si="75"/>
        <v>0</v>
      </c>
      <c r="M82" s="35">
        <v>0</v>
      </c>
      <c r="N82" s="35">
        <v>0</v>
      </c>
      <c r="O82" s="35">
        <f t="shared" si="76"/>
        <v>0</v>
      </c>
      <c r="P82" s="35"/>
      <c r="Q82" s="35"/>
      <c r="R82" s="35">
        <v>40</v>
      </c>
      <c r="S82" s="35">
        <f t="shared" si="77"/>
        <v>29.913200000000003</v>
      </c>
      <c r="T82" s="35">
        <v>30</v>
      </c>
      <c r="U82" s="35">
        <f t="shared" si="78"/>
        <v>31.408860000000001</v>
      </c>
      <c r="V82" s="35">
        <v>30</v>
      </c>
      <c r="W82" s="35">
        <f t="shared" si="79"/>
        <v>31.408860000000001</v>
      </c>
      <c r="X82" s="12">
        <f>(F82+H82+J82+L82+M82+O82+Q82+S82+U82+W82)*1</f>
        <v>167.51392000000001</v>
      </c>
      <c r="Y82" s="65">
        <f>3000/1970*1</f>
        <v>1.5228426395939085</v>
      </c>
      <c r="Z82" s="65">
        <f>(X82-S82*1.6*3)*0.06</f>
        <v>1.4358335999999992</v>
      </c>
      <c r="AA82" s="65">
        <f t="shared" si="71"/>
        <v>11.725974400000002</v>
      </c>
      <c r="AB82" s="65">
        <f t="shared" si="72"/>
        <v>182.19857063959392</v>
      </c>
      <c r="AC82" s="12">
        <f t="shared" si="80"/>
        <v>55.023968333157363</v>
      </c>
      <c r="AD82" s="12"/>
      <c r="AE82" s="65"/>
      <c r="AF82" s="12"/>
      <c r="AG82" s="12"/>
      <c r="AH82" s="35"/>
      <c r="AI82" s="66"/>
      <c r="AJ82" s="66"/>
      <c r="AK82" s="66"/>
      <c r="AL82" s="65"/>
      <c r="AM82" s="65"/>
      <c r="AN82" s="12"/>
      <c r="AO82" s="12"/>
      <c r="AP82" s="12"/>
      <c r="AQ82" s="65"/>
      <c r="AR82" s="35"/>
      <c r="AS82" s="35"/>
      <c r="AT82" s="35"/>
      <c r="AU82" s="35"/>
      <c r="AV82" s="35"/>
      <c r="AW82" s="67"/>
      <c r="AX82" s="35"/>
      <c r="AY82" s="12"/>
      <c r="AZ82" s="35"/>
      <c r="BA82" s="12"/>
      <c r="BB82" s="31"/>
      <c r="BC82" s="169"/>
      <c r="BD82" s="165"/>
      <c r="BE82" s="169"/>
      <c r="BF82" s="172"/>
    </row>
    <row r="83" spans="1:58" ht="56.25" customHeight="1">
      <c r="A83" s="83" t="s">
        <v>187</v>
      </c>
      <c r="B83" s="84" t="s">
        <v>175</v>
      </c>
      <c r="C83" s="85">
        <v>1333</v>
      </c>
      <c r="D83" s="104" t="s">
        <v>120</v>
      </c>
      <c r="E83" s="87">
        <v>4</v>
      </c>
      <c r="F83" s="41">
        <v>56.44</v>
      </c>
      <c r="G83" s="89">
        <v>8</v>
      </c>
      <c r="H83" s="89">
        <f t="shared" si="73"/>
        <v>4.5152000000000001</v>
      </c>
      <c r="I83" s="89"/>
      <c r="J83" s="89">
        <f t="shared" si="74"/>
        <v>0</v>
      </c>
      <c r="K83" s="89">
        <v>0</v>
      </c>
      <c r="L83" s="89">
        <f t="shared" si="75"/>
        <v>0</v>
      </c>
      <c r="M83" s="105">
        <v>0</v>
      </c>
      <c r="N83" s="89">
        <v>0</v>
      </c>
      <c r="O83" s="89">
        <f t="shared" si="76"/>
        <v>0</v>
      </c>
      <c r="P83" s="89"/>
      <c r="Q83" s="89"/>
      <c r="R83" s="89">
        <v>40</v>
      </c>
      <c r="S83" s="89">
        <f t="shared" si="77"/>
        <v>24.382080000000002</v>
      </c>
      <c r="T83" s="89">
        <v>30</v>
      </c>
      <c r="U83" s="89">
        <f t="shared" si="78"/>
        <v>25.601184</v>
      </c>
      <c r="V83" s="89">
        <v>30</v>
      </c>
      <c r="W83" s="89">
        <f t="shared" si="79"/>
        <v>25.601184</v>
      </c>
      <c r="X83" s="88">
        <f t="shared" ref="X83:X88" si="82">F83+H83+J83+L83+M83+O83+Q83+S83+U83+W83</f>
        <v>136.539648</v>
      </c>
      <c r="Y83" s="90">
        <f t="shared" ref="Y83:Y88" si="83">3000/1970</f>
        <v>1.5228426395939085</v>
      </c>
      <c r="Z83" s="90">
        <f t="shared" ref="Z83:Z88" si="84">X83*0.06</f>
        <v>8.1923788799999997</v>
      </c>
      <c r="AA83" s="90">
        <f t="shared" si="71"/>
        <v>9.5577753600000008</v>
      </c>
      <c r="AB83" s="90">
        <f t="shared" si="72"/>
        <v>155.8126448795939</v>
      </c>
      <c r="AC83" s="12">
        <f t="shared" si="80"/>
        <v>47.055418753637355</v>
      </c>
      <c r="AD83" s="90">
        <f>AB83*0.098</f>
        <v>15.269639198200203</v>
      </c>
      <c r="AE83" s="65">
        <f t="shared" si="81"/>
        <v>7.8919104631514303</v>
      </c>
      <c r="AF83" s="9" t="s">
        <v>24</v>
      </c>
      <c r="AG83" s="9">
        <v>30.04</v>
      </c>
      <c r="AH83" s="93">
        <v>4.67</v>
      </c>
      <c r="AI83" s="91">
        <f t="shared" ref="AI83:AI88" si="85">AH83</f>
        <v>4.67</v>
      </c>
      <c r="AJ83" s="92">
        <f t="shared" ref="AJ83:AJ88" si="86">AH83*1.07</f>
        <v>4.9969000000000001</v>
      </c>
      <c r="AK83" s="91">
        <f t="shared" ref="AK83:AK88" si="87">AI83*1.15</f>
        <v>5.3704999999999998</v>
      </c>
      <c r="AL83" s="90">
        <f t="shared" ref="AL83:AL88" si="88">(AI83*9+AK83*3)/12</f>
        <v>4.8451250000000003</v>
      </c>
      <c r="AM83" s="90">
        <f t="shared" ref="AM83:AM88" si="89">AG83*AL83</f>
        <v>145.54755500000002</v>
      </c>
      <c r="AN83" s="88" t="s">
        <v>74</v>
      </c>
      <c r="AO83" s="88">
        <v>50.1</v>
      </c>
      <c r="AP83" s="88">
        <v>2.4</v>
      </c>
      <c r="AQ83" s="90">
        <f t="shared" ref="AQ83:AQ88" si="90">AL83*AP83/100*AO83</f>
        <v>5.8257783000000005</v>
      </c>
      <c r="AR83" s="93"/>
      <c r="AS83" s="93"/>
      <c r="AT83" s="10"/>
      <c r="AU83" s="10"/>
      <c r="AV83" s="93"/>
      <c r="AW83" s="94"/>
      <c r="AX83" s="35">
        <v>48.62</v>
      </c>
      <c r="AY83" s="12">
        <v>17.510000000000002</v>
      </c>
      <c r="AZ83" s="88">
        <v>5.33</v>
      </c>
      <c r="BA83" s="12">
        <v>5.19</v>
      </c>
      <c r="BB83" s="88"/>
      <c r="BC83" s="169">
        <f t="shared" ref="BC83:BC91" si="91">AB83+AC83+AD83+AM83+AQ83+AW83+AX83+AY83+AZ83+BA83+BB83</f>
        <v>446.1610361314315</v>
      </c>
      <c r="BD83" s="166">
        <f>AB83*0.2</f>
        <v>31.162528975918782</v>
      </c>
      <c r="BE83" s="174">
        <f t="shared" ref="BE83:BE88" si="92">BC83+AE83+BD83</f>
        <v>485.21547557050172</v>
      </c>
      <c r="BF83" s="175">
        <f t="shared" ref="BF83:BF88" si="93">BC83-AD83</f>
        <v>430.89139693323131</v>
      </c>
    </row>
    <row r="84" spans="1:58" ht="103.5" customHeight="1">
      <c r="A84" s="83" t="s">
        <v>69</v>
      </c>
      <c r="B84" s="84" t="s">
        <v>176</v>
      </c>
      <c r="C84" s="85">
        <v>182</v>
      </c>
      <c r="D84" s="86" t="s">
        <v>119</v>
      </c>
      <c r="E84" s="87">
        <v>5</v>
      </c>
      <c r="F84" s="41">
        <v>77.14</v>
      </c>
      <c r="G84" s="35">
        <v>6</v>
      </c>
      <c r="H84" s="89">
        <f t="shared" si="73"/>
        <v>4.6284000000000001</v>
      </c>
      <c r="I84" s="88"/>
      <c r="J84" s="89">
        <f t="shared" si="74"/>
        <v>0</v>
      </c>
      <c r="K84" s="88"/>
      <c r="L84" s="89">
        <f t="shared" si="75"/>
        <v>0</v>
      </c>
      <c r="M84" s="88"/>
      <c r="N84" s="88"/>
      <c r="O84" s="89">
        <f t="shared" si="76"/>
        <v>0</v>
      </c>
      <c r="P84" s="88"/>
      <c r="Q84" s="89"/>
      <c r="R84" s="89">
        <v>40</v>
      </c>
      <c r="S84" s="89">
        <f t="shared" si="77"/>
        <v>32.707360000000001</v>
      </c>
      <c r="T84" s="89">
        <v>30</v>
      </c>
      <c r="U84" s="89">
        <f t="shared" si="78"/>
        <v>34.342728000000001</v>
      </c>
      <c r="V84" s="89">
        <v>30</v>
      </c>
      <c r="W84" s="89">
        <f t="shared" si="79"/>
        <v>34.342728000000001</v>
      </c>
      <c r="X84" s="88">
        <f t="shared" si="82"/>
        <v>183.161216</v>
      </c>
      <c r="Y84" s="90">
        <f t="shared" si="83"/>
        <v>1.5228426395939085</v>
      </c>
      <c r="Z84" s="90">
        <f t="shared" si="84"/>
        <v>10.98967296</v>
      </c>
      <c r="AA84" s="90">
        <f t="shared" si="71"/>
        <v>12.821285120000001</v>
      </c>
      <c r="AB84" s="90">
        <f t="shared" si="72"/>
        <v>208.49501671959391</v>
      </c>
      <c r="AC84" s="12">
        <f t="shared" si="80"/>
        <v>62.965495049317354</v>
      </c>
      <c r="AD84" s="12"/>
      <c r="AE84" s="65">
        <f t="shared" si="81"/>
        <v>10.560272596847431</v>
      </c>
      <c r="AF84" s="9" t="s">
        <v>24</v>
      </c>
      <c r="AG84" s="9">
        <v>30.04</v>
      </c>
      <c r="AH84" s="89">
        <v>2.0699999999999998</v>
      </c>
      <c r="AI84" s="91">
        <f t="shared" si="85"/>
        <v>2.0699999999999998</v>
      </c>
      <c r="AJ84" s="92">
        <f t="shared" si="86"/>
        <v>2.2149000000000001</v>
      </c>
      <c r="AK84" s="91">
        <f t="shared" si="87"/>
        <v>2.3804999999999996</v>
      </c>
      <c r="AL84" s="90">
        <f t="shared" si="88"/>
        <v>2.1476249999999997</v>
      </c>
      <c r="AM84" s="90">
        <f t="shared" si="89"/>
        <v>64.514654999999991</v>
      </c>
      <c r="AN84" s="88" t="s">
        <v>74</v>
      </c>
      <c r="AO84" s="88">
        <v>50.1</v>
      </c>
      <c r="AP84" s="88">
        <v>2.4</v>
      </c>
      <c r="AQ84" s="90">
        <f t="shared" si="90"/>
        <v>2.5823042999999997</v>
      </c>
      <c r="AR84" s="93"/>
      <c r="AS84" s="93"/>
      <c r="AT84" s="10"/>
      <c r="AU84" s="10"/>
      <c r="AV84" s="93"/>
      <c r="AW84" s="94"/>
      <c r="AX84" s="35">
        <v>48.62</v>
      </c>
      <c r="AY84" s="12">
        <v>17.510000000000002</v>
      </c>
      <c r="AZ84" s="88">
        <v>0</v>
      </c>
      <c r="BA84" s="12">
        <v>5.19</v>
      </c>
      <c r="BB84" s="88"/>
      <c r="BC84" s="169">
        <f t="shared" si="91"/>
        <v>409.87747106891123</v>
      </c>
      <c r="BD84" s="166">
        <f t="shared" ref="BD84:BD91" si="94">AB84*0.2</f>
        <v>41.699003343918783</v>
      </c>
      <c r="BE84" s="174">
        <f t="shared" si="92"/>
        <v>462.13674700967744</v>
      </c>
      <c r="BF84" s="175">
        <f t="shared" si="93"/>
        <v>409.87747106891123</v>
      </c>
    </row>
    <row r="85" spans="1:58" ht="70.5" customHeight="1">
      <c r="A85" s="83" t="s">
        <v>70</v>
      </c>
      <c r="B85" s="84" t="s">
        <v>177</v>
      </c>
      <c r="C85" s="106">
        <v>61</v>
      </c>
      <c r="D85" s="86" t="s">
        <v>119</v>
      </c>
      <c r="E85" s="87">
        <v>5</v>
      </c>
      <c r="F85" s="41">
        <v>77.14</v>
      </c>
      <c r="G85" s="35">
        <v>6</v>
      </c>
      <c r="H85" s="89">
        <f t="shared" si="73"/>
        <v>4.6284000000000001</v>
      </c>
      <c r="I85" s="89"/>
      <c r="J85" s="89">
        <f t="shared" si="74"/>
        <v>0</v>
      </c>
      <c r="K85" s="89">
        <v>0</v>
      </c>
      <c r="L85" s="89">
        <f t="shared" si="75"/>
        <v>0</v>
      </c>
      <c r="M85" s="105">
        <v>0</v>
      </c>
      <c r="N85" s="89">
        <v>0</v>
      </c>
      <c r="O85" s="89">
        <f t="shared" si="76"/>
        <v>0</v>
      </c>
      <c r="P85" s="89"/>
      <c r="Q85" s="89"/>
      <c r="R85" s="89">
        <v>40</v>
      </c>
      <c r="S85" s="89">
        <f t="shared" si="77"/>
        <v>32.707360000000001</v>
      </c>
      <c r="T85" s="89">
        <v>30</v>
      </c>
      <c r="U85" s="89">
        <f t="shared" si="78"/>
        <v>34.342728000000001</v>
      </c>
      <c r="V85" s="89">
        <v>30</v>
      </c>
      <c r="W85" s="89">
        <f t="shared" si="79"/>
        <v>34.342728000000001</v>
      </c>
      <c r="X85" s="88">
        <f t="shared" si="82"/>
        <v>183.161216</v>
      </c>
      <c r="Y85" s="90">
        <f t="shared" si="83"/>
        <v>1.5228426395939085</v>
      </c>
      <c r="Z85" s="90">
        <f t="shared" si="84"/>
        <v>10.98967296</v>
      </c>
      <c r="AA85" s="90">
        <f t="shared" si="71"/>
        <v>12.821285120000001</v>
      </c>
      <c r="AB85" s="90">
        <f t="shared" si="72"/>
        <v>208.49501671959391</v>
      </c>
      <c r="AC85" s="12">
        <f t="shared" si="80"/>
        <v>62.965495049317354</v>
      </c>
      <c r="AD85" s="12"/>
      <c r="AE85" s="65">
        <f t="shared" si="81"/>
        <v>10.560272596847431</v>
      </c>
      <c r="AF85" s="9" t="s">
        <v>24</v>
      </c>
      <c r="AG85" s="9">
        <v>30.04</v>
      </c>
      <c r="AH85" s="107">
        <v>2</v>
      </c>
      <c r="AI85" s="91">
        <f t="shared" si="85"/>
        <v>2</v>
      </c>
      <c r="AJ85" s="92">
        <f t="shared" si="86"/>
        <v>2.14</v>
      </c>
      <c r="AK85" s="91">
        <f t="shared" si="87"/>
        <v>2.2999999999999998</v>
      </c>
      <c r="AL85" s="90">
        <f t="shared" si="88"/>
        <v>2.0749999999999997</v>
      </c>
      <c r="AM85" s="90">
        <f t="shared" si="89"/>
        <v>62.332999999999991</v>
      </c>
      <c r="AN85" s="88" t="s">
        <v>74</v>
      </c>
      <c r="AO85" s="88">
        <v>50.1</v>
      </c>
      <c r="AP85" s="88">
        <v>2.4</v>
      </c>
      <c r="AQ85" s="90">
        <f t="shared" si="90"/>
        <v>2.49498</v>
      </c>
      <c r="AR85" s="93"/>
      <c r="AS85" s="93"/>
      <c r="AT85" s="10"/>
      <c r="AU85" s="10"/>
      <c r="AV85" s="93"/>
      <c r="AW85" s="94"/>
      <c r="AX85" s="35">
        <v>48.62</v>
      </c>
      <c r="AY85" s="12">
        <v>17.510000000000002</v>
      </c>
      <c r="AZ85" s="88">
        <v>7.67</v>
      </c>
      <c r="BA85" s="12">
        <v>5.19</v>
      </c>
      <c r="BB85" s="88"/>
      <c r="BC85" s="169">
        <f t="shared" si="91"/>
        <v>415.27849176891124</v>
      </c>
      <c r="BD85" s="166">
        <f t="shared" si="94"/>
        <v>41.699003343918783</v>
      </c>
      <c r="BE85" s="174">
        <f t="shared" si="92"/>
        <v>467.53776770967744</v>
      </c>
      <c r="BF85" s="175">
        <f t="shared" si="93"/>
        <v>415.27849176891124</v>
      </c>
    </row>
    <row r="86" spans="1:58" ht="95.25" customHeight="1">
      <c r="A86" s="83" t="s">
        <v>71</v>
      </c>
      <c r="B86" s="84" t="s">
        <v>178</v>
      </c>
      <c r="C86" s="85">
        <v>1334</v>
      </c>
      <c r="D86" s="104" t="s">
        <v>200</v>
      </c>
      <c r="E86" s="87">
        <v>5</v>
      </c>
      <c r="F86" s="41">
        <v>70.55</v>
      </c>
      <c r="G86" s="89">
        <v>4</v>
      </c>
      <c r="H86" s="137">
        <f t="shared" ref="H86:H91" si="95">F86*G86/100</f>
        <v>2.8220000000000001</v>
      </c>
      <c r="I86" s="89"/>
      <c r="J86" s="89">
        <f t="shared" ref="J86:J91" si="96">F86*I86/100</f>
        <v>0</v>
      </c>
      <c r="K86" s="89">
        <v>0</v>
      </c>
      <c r="L86" s="89">
        <f t="shared" ref="L86:L91" si="97">F86*K86/100</f>
        <v>0</v>
      </c>
      <c r="M86" s="105">
        <v>0</v>
      </c>
      <c r="N86" s="89">
        <v>0</v>
      </c>
      <c r="O86" s="89">
        <f t="shared" ref="O86:O91" si="98">F86*N86/100</f>
        <v>0</v>
      </c>
      <c r="P86" s="89"/>
      <c r="Q86" s="89"/>
      <c r="R86" s="89">
        <v>40</v>
      </c>
      <c r="S86" s="89">
        <f t="shared" ref="S86:S91" si="99">(F86+H86+J86+L86+M86+O86+Q86)*R86/100</f>
        <v>29.348800000000001</v>
      </c>
      <c r="T86" s="89">
        <v>30</v>
      </c>
      <c r="U86" s="89">
        <f t="shared" ref="U86:U91" si="100">(F86+H86+J86+L86+M86+O86+Q86+S86)*30/100</f>
        <v>30.816239999999997</v>
      </c>
      <c r="V86" s="89">
        <v>30</v>
      </c>
      <c r="W86" s="89">
        <f t="shared" ref="W86:W91" si="101">U86</f>
        <v>30.816239999999997</v>
      </c>
      <c r="X86" s="90">
        <f>(F86+H86+J86+L86+M86+O86+Q86+S86+U86+W86)*2</f>
        <v>328.70655999999997</v>
      </c>
      <c r="Y86" s="90">
        <f>3000/1970*2</f>
        <v>3.0456852791878171</v>
      </c>
      <c r="Z86" s="65">
        <f>(X86-S86*2*1.6)*0.06</f>
        <v>14.087423999999999</v>
      </c>
      <c r="AA86" s="90">
        <f>X86*0.07</f>
        <v>23.009459199999998</v>
      </c>
      <c r="AB86" s="90">
        <f>X86+Y86+Z86+AA86</f>
        <v>368.84912847918775</v>
      </c>
      <c r="AC86" s="12">
        <f t="shared" si="80"/>
        <v>111.39243680071471</v>
      </c>
      <c r="AD86" s="90">
        <f>AB86*0.098</f>
        <v>36.147214590960402</v>
      </c>
      <c r="AE86" s="65">
        <f t="shared" si="81"/>
        <v>18.682208357470859</v>
      </c>
      <c r="AF86" s="9" t="s">
        <v>167</v>
      </c>
      <c r="AG86" s="35">
        <v>32.83</v>
      </c>
      <c r="AH86" s="94">
        <v>85.05</v>
      </c>
      <c r="AI86" s="91">
        <f t="shared" si="85"/>
        <v>85.05</v>
      </c>
      <c r="AJ86" s="92">
        <f t="shared" si="86"/>
        <v>91.003500000000003</v>
      </c>
      <c r="AK86" s="91">
        <f t="shared" si="87"/>
        <v>97.80749999999999</v>
      </c>
      <c r="AL86" s="90">
        <f t="shared" si="88"/>
        <v>88.239374999999995</v>
      </c>
      <c r="AM86" s="90">
        <f t="shared" si="89"/>
        <v>2896.8986812499998</v>
      </c>
      <c r="AN86" s="29" t="s">
        <v>73</v>
      </c>
      <c r="AO86" s="29">
        <v>52.25</v>
      </c>
      <c r="AP86" s="138">
        <f>0.0007*405/AL86*100</f>
        <v>0.32128514056224899</v>
      </c>
      <c r="AQ86" s="90">
        <f t="shared" si="90"/>
        <v>14.812874999999998</v>
      </c>
      <c r="AR86" s="93"/>
      <c r="AS86" s="93"/>
      <c r="AT86" s="10"/>
      <c r="AU86" s="10"/>
      <c r="AV86" s="93"/>
      <c r="AW86" s="94"/>
      <c r="AX86" s="35">
        <v>48.62</v>
      </c>
      <c r="AY86" s="12">
        <v>17.510000000000002</v>
      </c>
      <c r="AZ86" s="88">
        <v>196.35</v>
      </c>
      <c r="BA86" s="12">
        <v>5.19</v>
      </c>
      <c r="BB86" s="88"/>
      <c r="BC86" s="169">
        <f t="shared" si="91"/>
        <v>3695.7703361208628</v>
      </c>
      <c r="BD86" s="166">
        <f t="shared" si="94"/>
        <v>73.769825695837554</v>
      </c>
      <c r="BE86" s="174">
        <f t="shared" si="92"/>
        <v>3788.2223701741709</v>
      </c>
      <c r="BF86" s="175">
        <f t="shared" si="93"/>
        <v>3659.6231215299022</v>
      </c>
    </row>
    <row r="87" spans="1:58" ht="78" customHeight="1">
      <c r="A87" s="151" t="s">
        <v>72</v>
      </c>
      <c r="B87" s="84" t="s">
        <v>180</v>
      </c>
      <c r="C87" s="84">
        <v>1011</v>
      </c>
      <c r="D87" s="86" t="s">
        <v>119</v>
      </c>
      <c r="E87" s="87">
        <v>5</v>
      </c>
      <c r="F87" s="41">
        <v>77.14</v>
      </c>
      <c r="G87" s="35">
        <v>6</v>
      </c>
      <c r="H87" s="137">
        <f t="shared" si="95"/>
        <v>4.6284000000000001</v>
      </c>
      <c r="I87" s="89"/>
      <c r="J87" s="89">
        <f t="shared" si="96"/>
        <v>0</v>
      </c>
      <c r="K87" s="89">
        <v>0</v>
      </c>
      <c r="L87" s="89">
        <f t="shared" si="97"/>
        <v>0</v>
      </c>
      <c r="M87" s="105">
        <v>0</v>
      </c>
      <c r="N87" s="89">
        <v>0</v>
      </c>
      <c r="O87" s="89">
        <f t="shared" si="98"/>
        <v>0</v>
      </c>
      <c r="P87" s="89"/>
      <c r="Q87" s="89"/>
      <c r="R87" s="89">
        <v>40</v>
      </c>
      <c r="S87" s="89">
        <f t="shared" si="99"/>
        <v>32.707360000000001</v>
      </c>
      <c r="T87" s="89">
        <v>30</v>
      </c>
      <c r="U87" s="89">
        <f t="shared" si="100"/>
        <v>34.342728000000001</v>
      </c>
      <c r="V87" s="89">
        <v>30</v>
      </c>
      <c r="W87" s="89">
        <f t="shared" si="101"/>
        <v>34.342728000000001</v>
      </c>
      <c r="X87" s="88">
        <f t="shared" si="82"/>
        <v>183.161216</v>
      </c>
      <c r="Y87" s="90">
        <f t="shared" si="83"/>
        <v>1.5228426395939085</v>
      </c>
      <c r="Z87" s="90">
        <f t="shared" si="84"/>
        <v>10.98967296</v>
      </c>
      <c r="AA87" s="90">
        <f t="shared" si="71"/>
        <v>12.821285120000001</v>
      </c>
      <c r="AB87" s="90">
        <f t="shared" si="72"/>
        <v>208.49501671959391</v>
      </c>
      <c r="AC87" s="12">
        <f t="shared" si="80"/>
        <v>62.965495049317354</v>
      </c>
      <c r="AD87" s="12">
        <f>AB87*0.268</f>
        <v>55.876664480851169</v>
      </c>
      <c r="AE87" s="65">
        <f t="shared" si="81"/>
        <v>10.560272596847431</v>
      </c>
      <c r="AF87" s="9" t="s">
        <v>167</v>
      </c>
      <c r="AG87" s="35">
        <v>32.83</v>
      </c>
      <c r="AH87" s="94">
        <v>4.5</v>
      </c>
      <c r="AI87" s="91">
        <f t="shared" si="85"/>
        <v>4.5</v>
      </c>
      <c r="AJ87" s="92">
        <f t="shared" si="86"/>
        <v>4.8150000000000004</v>
      </c>
      <c r="AK87" s="91">
        <f t="shared" si="87"/>
        <v>5.1749999999999998</v>
      </c>
      <c r="AL87" s="90">
        <f t="shared" si="88"/>
        <v>4.6687500000000002</v>
      </c>
      <c r="AM87" s="90">
        <f t="shared" si="89"/>
        <v>153.27506249999999</v>
      </c>
      <c r="AN87" s="29" t="s">
        <v>73</v>
      </c>
      <c r="AO87" s="29">
        <v>52.25</v>
      </c>
      <c r="AP87" s="152">
        <v>4.5</v>
      </c>
      <c r="AQ87" s="90">
        <f t="shared" si="90"/>
        <v>10.977398437500002</v>
      </c>
      <c r="AR87" s="93"/>
      <c r="AS87" s="93"/>
      <c r="AT87" s="10"/>
      <c r="AU87" s="10"/>
      <c r="AV87" s="93"/>
      <c r="AW87" s="94"/>
      <c r="AX87" s="35">
        <v>48.62</v>
      </c>
      <c r="AY87" s="12">
        <v>17.510000000000002</v>
      </c>
      <c r="AZ87" s="93">
        <v>92.69</v>
      </c>
      <c r="BA87" s="12">
        <v>5.19</v>
      </c>
      <c r="BB87" s="88"/>
      <c r="BC87" s="169">
        <f t="shared" si="91"/>
        <v>655.59963718726249</v>
      </c>
      <c r="BD87" s="166">
        <f t="shared" si="94"/>
        <v>41.699003343918783</v>
      </c>
      <c r="BE87" s="174">
        <f t="shared" si="92"/>
        <v>707.85891312802869</v>
      </c>
      <c r="BF87" s="175">
        <f t="shared" si="93"/>
        <v>599.72297270641127</v>
      </c>
    </row>
    <row r="88" spans="1:58" ht="78" customHeight="1">
      <c r="A88" s="151" t="s">
        <v>188</v>
      </c>
      <c r="B88" s="84" t="s">
        <v>180</v>
      </c>
      <c r="C88" s="84">
        <v>1012</v>
      </c>
      <c r="D88" s="86" t="s">
        <v>119</v>
      </c>
      <c r="E88" s="87">
        <v>5</v>
      </c>
      <c r="F88" s="41">
        <v>77.14</v>
      </c>
      <c r="G88" s="35">
        <v>6</v>
      </c>
      <c r="H88" s="137">
        <f t="shared" si="95"/>
        <v>4.6284000000000001</v>
      </c>
      <c r="I88" s="89"/>
      <c r="J88" s="89">
        <f t="shared" si="96"/>
        <v>0</v>
      </c>
      <c r="K88" s="89">
        <v>0</v>
      </c>
      <c r="L88" s="89">
        <f t="shared" si="97"/>
        <v>0</v>
      </c>
      <c r="M88" s="105">
        <v>0</v>
      </c>
      <c r="N88" s="89">
        <v>0</v>
      </c>
      <c r="O88" s="89">
        <f t="shared" si="98"/>
        <v>0</v>
      </c>
      <c r="P88" s="89"/>
      <c r="Q88" s="89"/>
      <c r="R88" s="89">
        <v>40</v>
      </c>
      <c r="S88" s="89">
        <f t="shared" si="99"/>
        <v>32.707360000000001</v>
      </c>
      <c r="T88" s="89">
        <v>30</v>
      </c>
      <c r="U88" s="89">
        <f t="shared" si="100"/>
        <v>34.342728000000001</v>
      </c>
      <c r="V88" s="89">
        <v>30</v>
      </c>
      <c r="W88" s="89">
        <f t="shared" si="101"/>
        <v>34.342728000000001</v>
      </c>
      <c r="X88" s="88">
        <f t="shared" si="82"/>
        <v>183.161216</v>
      </c>
      <c r="Y88" s="90">
        <f t="shared" si="83"/>
        <v>1.5228426395939085</v>
      </c>
      <c r="Z88" s="90">
        <f t="shared" si="84"/>
        <v>10.98967296</v>
      </c>
      <c r="AA88" s="90">
        <f t="shared" si="71"/>
        <v>12.821285120000001</v>
      </c>
      <c r="AB88" s="90">
        <f t="shared" si="72"/>
        <v>208.49501671959391</v>
      </c>
      <c r="AC88" s="12">
        <f t="shared" si="80"/>
        <v>62.965495049317354</v>
      </c>
      <c r="AD88" s="12">
        <f>AB88*0.268</f>
        <v>55.876664480851169</v>
      </c>
      <c r="AE88" s="65">
        <f t="shared" si="81"/>
        <v>10.560272596847431</v>
      </c>
      <c r="AF88" s="9" t="s">
        <v>167</v>
      </c>
      <c r="AG88" s="35">
        <v>32.83</v>
      </c>
      <c r="AH88" s="94">
        <v>4.5</v>
      </c>
      <c r="AI88" s="91">
        <f t="shared" si="85"/>
        <v>4.5</v>
      </c>
      <c r="AJ88" s="92">
        <f t="shared" si="86"/>
        <v>4.8150000000000004</v>
      </c>
      <c r="AK88" s="91">
        <f t="shared" si="87"/>
        <v>5.1749999999999998</v>
      </c>
      <c r="AL88" s="90">
        <f t="shared" si="88"/>
        <v>4.6687500000000002</v>
      </c>
      <c r="AM88" s="90">
        <f t="shared" si="89"/>
        <v>153.27506249999999</v>
      </c>
      <c r="AN88" s="29" t="s">
        <v>73</v>
      </c>
      <c r="AO88" s="29">
        <v>52.25</v>
      </c>
      <c r="AP88" s="152">
        <v>4.5</v>
      </c>
      <c r="AQ88" s="90">
        <f t="shared" si="90"/>
        <v>10.977398437500002</v>
      </c>
      <c r="AR88" s="93"/>
      <c r="AS88" s="93"/>
      <c r="AT88" s="10"/>
      <c r="AU88" s="10"/>
      <c r="AV88" s="93"/>
      <c r="AW88" s="94"/>
      <c r="AX88" s="35">
        <v>48.62</v>
      </c>
      <c r="AY88" s="12">
        <v>17.510000000000002</v>
      </c>
      <c r="AZ88" s="93">
        <v>92.69</v>
      </c>
      <c r="BA88" s="12">
        <v>5.19</v>
      </c>
      <c r="BB88" s="88"/>
      <c r="BC88" s="169">
        <f t="shared" si="91"/>
        <v>655.59963718726249</v>
      </c>
      <c r="BD88" s="166">
        <f t="shared" si="94"/>
        <v>41.699003343918783</v>
      </c>
      <c r="BE88" s="174">
        <f t="shared" si="92"/>
        <v>707.85891312802869</v>
      </c>
      <c r="BF88" s="175">
        <f t="shared" si="93"/>
        <v>599.72297270641127</v>
      </c>
    </row>
    <row r="89" spans="1:58" ht="99.75" customHeight="1">
      <c r="A89" s="28" t="s">
        <v>192</v>
      </c>
      <c r="B89" s="48" t="s">
        <v>189</v>
      </c>
      <c r="C89" s="48"/>
      <c r="D89" s="20" t="s">
        <v>158</v>
      </c>
      <c r="E89" s="40">
        <v>5</v>
      </c>
      <c r="F89" s="41">
        <v>70.55</v>
      </c>
      <c r="G89" s="12">
        <v>4</v>
      </c>
      <c r="H89" s="35">
        <f t="shared" si="95"/>
        <v>2.8220000000000001</v>
      </c>
      <c r="I89" s="35"/>
      <c r="J89" s="35">
        <f t="shared" si="96"/>
        <v>0</v>
      </c>
      <c r="K89" s="35">
        <v>0</v>
      </c>
      <c r="L89" s="35">
        <f t="shared" si="97"/>
        <v>0</v>
      </c>
      <c r="M89" s="35">
        <v>0</v>
      </c>
      <c r="N89" s="35">
        <v>0</v>
      </c>
      <c r="O89" s="35">
        <f t="shared" si="98"/>
        <v>0</v>
      </c>
      <c r="P89" s="35"/>
      <c r="Q89" s="35"/>
      <c r="R89" s="35">
        <v>40</v>
      </c>
      <c r="S89" s="35">
        <f t="shared" si="99"/>
        <v>29.348800000000001</v>
      </c>
      <c r="T89" s="35">
        <v>30</v>
      </c>
      <c r="U89" s="35">
        <f t="shared" si="100"/>
        <v>30.816239999999997</v>
      </c>
      <c r="V89" s="35">
        <v>30</v>
      </c>
      <c r="W89" s="35">
        <f t="shared" si="101"/>
        <v>30.816239999999997</v>
      </c>
      <c r="X89" s="12">
        <f>F89+H89+J89+L89+M89+O89+Q89+S89+U89+W89</f>
        <v>164.35327999999998</v>
      </c>
      <c r="Y89" s="65">
        <f>3000/1970</f>
        <v>1.5228426395939085</v>
      </c>
      <c r="Z89" s="65">
        <f>(X89-S89*1.6)*0.06</f>
        <v>7.0437119999999993</v>
      </c>
      <c r="AA89" s="65">
        <f>X89*0.07</f>
        <v>11.504729599999999</v>
      </c>
      <c r="AB89" s="65">
        <f>X89+Y89+Z89+AA89</f>
        <v>184.42456423959388</v>
      </c>
      <c r="AC89" s="12">
        <f t="shared" si="80"/>
        <v>55.696218400357353</v>
      </c>
      <c r="AD89" s="12">
        <f>AB89*0.5267</f>
        <v>97.136417984994083</v>
      </c>
      <c r="AE89" s="65">
        <f t="shared" si="81"/>
        <v>9.3411041787354296</v>
      </c>
      <c r="AF89" s="9" t="s">
        <v>167</v>
      </c>
      <c r="AG89" s="35">
        <v>32.83</v>
      </c>
      <c r="AH89" s="67">
        <v>4.76</v>
      </c>
      <c r="AI89" s="66">
        <v>4.76</v>
      </c>
      <c r="AJ89" s="69">
        <f>AH89*1.07</f>
        <v>5.0932000000000004</v>
      </c>
      <c r="AK89" s="66">
        <f>AH89*1.15</f>
        <v>5.4739999999999993</v>
      </c>
      <c r="AL89" s="65">
        <f>(AI89*7+AJ89*2+AK89*3)/12</f>
        <v>4.9940333333333333</v>
      </c>
      <c r="AM89" s="65">
        <f>AG89*AL89</f>
        <v>163.95411433333334</v>
      </c>
      <c r="AN89" s="29" t="s">
        <v>190</v>
      </c>
      <c r="AO89" s="29">
        <v>739</v>
      </c>
      <c r="AP89" s="71">
        <v>0.29399999999999998</v>
      </c>
      <c r="AQ89" s="65">
        <f>AL89*AP89/100*AO89</f>
        <v>10.850336462</v>
      </c>
      <c r="AR89" s="29">
        <v>33000</v>
      </c>
      <c r="AS89" s="29">
        <v>23</v>
      </c>
      <c r="AT89" s="29" t="s">
        <v>168</v>
      </c>
      <c r="AU89" s="29">
        <v>3231</v>
      </c>
      <c r="AV89" s="29">
        <v>2</v>
      </c>
      <c r="AW89" s="30">
        <f>AU89*AV89/AR89*AS89</f>
        <v>4.5038181818181817</v>
      </c>
      <c r="AX89" s="35">
        <v>48.62</v>
      </c>
      <c r="AY89" s="12">
        <v>17.510000000000002</v>
      </c>
      <c r="AZ89" s="12">
        <v>414.17</v>
      </c>
      <c r="BA89" s="12">
        <v>5.19</v>
      </c>
      <c r="BB89" s="12"/>
      <c r="BC89" s="169">
        <f t="shared" si="91"/>
        <v>1002.0554696020968</v>
      </c>
      <c r="BD89" s="166">
        <f t="shared" si="94"/>
        <v>36.884912847918777</v>
      </c>
      <c r="BE89" s="169">
        <f>BC89+AE89+BD89</f>
        <v>1048.2814866287511</v>
      </c>
      <c r="BF89" s="172">
        <f>BC89-AD89</f>
        <v>904.9190516171027</v>
      </c>
    </row>
    <row r="90" spans="1:58" ht="110.25" customHeight="1">
      <c r="A90" s="28" t="s">
        <v>193</v>
      </c>
      <c r="B90" s="48" t="s">
        <v>191</v>
      </c>
      <c r="C90" s="48"/>
      <c r="D90" s="20" t="s">
        <v>158</v>
      </c>
      <c r="E90" s="40">
        <v>5</v>
      </c>
      <c r="F90" s="41">
        <v>70.55</v>
      </c>
      <c r="G90" s="12">
        <v>4</v>
      </c>
      <c r="H90" s="35">
        <f t="shared" si="95"/>
        <v>2.8220000000000001</v>
      </c>
      <c r="I90" s="35"/>
      <c r="J90" s="35">
        <f t="shared" si="96"/>
        <v>0</v>
      </c>
      <c r="K90" s="35">
        <v>0</v>
      </c>
      <c r="L90" s="35">
        <f t="shared" si="97"/>
        <v>0</v>
      </c>
      <c r="M90" s="35">
        <v>0</v>
      </c>
      <c r="N90" s="35">
        <v>0</v>
      </c>
      <c r="O90" s="35">
        <f t="shared" si="98"/>
        <v>0</v>
      </c>
      <c r="P90" s="35"/>
      <c r="Q90" s="35"/>
      <c r="R90" s="35">
        <v>40</v>
      </c>
      <c r="S90" s="35">
        <f t="shared" si="99"/>
        <v>29.348800000000001</v>
      </c>
      <c r="T90" s="35">
        <v>30</v>
      </c>
      <c r="U90" s="35">
        <f t="shared" si="100"/>
        <v>30.816239999999997</v>
      </c>
      <c r="V90" s="35">
        <v>30</v>
      </c>
      <c r="W90" s="35">
        <f t="shared" si="101"/>
        <v>30.816239999999997</v>
      </c>
      <c r="X90" s="12">
        <f>F90+H90+J90+L90+M90+O90+Q90+S90+U90+W90</f>
        <v>164.35327999999998</v>
      </c>
      <c r="Y90" s="65">
        <f>3000/1970</f>
        <v>1.5228426395939085</v>
      </c>
      <c r="Z90" s="65">
        <f>(X90-S90*1.6)*0.06</f>
        <v>7.0437119999999993</v>
      </c>
      <c r="AA90" s="65">
        <f>X90*0.07</f>
        <v>11.504729599999999</v>
      </c>
      <c r="AB90" s="65">
        <f>X90+Y90+Z90+AA90</f>
        <v>184.42456423959388</v>
      </c>
      <c r="AC90" s="12">
        <f t="shared" si="80"/>
        <v>55.696218400357353</v>
      </c>
      <c r="AD90" s="12">
        <f>AB90*0.5267</f>
        <v>97.136417984994083</v>
      </c>
      <c r="AE90" s="65">
        <f t="shared" si="81"/>
        <v>9.3411041787354296</v>
      </c>
      <c r="AF90" s="9" t="s">
        <v>167</v>
      </c>
      <c r="AG90" s="35">
        <v>32.83</v>
      </c>
      <c r="AH90" s="67">
        <v>55.18</v>
      </c>
      <c r="AI90" s="67">
        <v>55.18</v>
      </c>
      <c r="AJ90" s="69">
        <f>AH90*1.07</f>
        <v>59.0426</v>
      </c>
      <c r="AK90" s="66">
        <f>AH90*1.15</f>
        <v>63.456999999999994</v>
      </c>
      <c r="AL90" s="65">
        <f>(AI90*7+AJ90*2+AK90*3)/12</f>
        <v>57.893016666666661</v>
      </c>
      <c r="AM90" s="65">
        <f>AG90*AL90</f>
        <v>1900.6277371666663</v>
      </c>
      <c r="AN90" s="29" t="s">
        <v>190</v>
      </c>
      <c r="AO90" s="29">
        <v>739</v>
      </c>
      <c r="AP90" s="71">
        <v>5.3999999999999999E-2</v>
      </c>
      <c r="AQ90" s="65">
        <f>AL90*AP90/100*AO90</f>
        <v>23.102787230999997</v>
      </c>
      <c r="AR90" s="29"/>
      <c r="AS90" s="29"/>
      <c r="AT90" s="29"/>
      <c r="AU90" s="29"/>
      <c r="AV90" s="29"/>
      <c r="AW90" s="30"/>
      <c r="AX90" s="35">
        <v>48.62</v>
      </c>
      <c r="AY90" s="12">
        <v>17.510000000000002</v>
      </c>
      <c r="AZ90" s="12">
        <v>414.17</v>
      </c>
      <c r="BA90" s="12">
        <v>5.19</v>
      </c>
      <c r="BB90" s="12"/>
      <c r="BC90" s="169">
        <f t="shared" si="91"/>
        <v>2746.477725022612</v>
      </c>
      <c r="BD90" s="166">
        <f t="shared" si="94"/>
        <v>36.884912847918777</v>
      </c>
      <c r="BE90" s="169">
        <f>BC90+AE90+BD90</f>
        <v>2792.7037420492661</v>
      </c>
      <c r="BF90" s="172">
        <f>BC90-AD90</f>
        <v>2649.3413070376178</v>
      </c>
    </row>
    <row r="91" spans="1:58" ht="78" customHeight="1">
      <c r="A91" s="28" t="s">
        <v>195</v>
      </c>
      <c r="B91" s="20" t="s">
        <v>194</v>
      </c>
      <c r="C91" s="7"/>
      <c r="D91" s="20" t="s">
        <v>119</v>
      </c>
      <c r="E91" s="40">
        <v>5</v>
      </c>
      <c r="F91" s="35">
        <v>77.14</v>
      </c>
      <c r="G91" s="12">
        <v>6</v>
      </c>
      <c r="H91" s="35">
        <f t="shared" si="95"/>
        <v>4.6284000000000001</v>
      </c>
      <c r="I91" s="12"/>
      <c r="J91" s="35">
        <f t="shared" si="96"/>
        <v>0</v>
      </c>
      <c r="K91" s="12"/>
      <c r="L91" s="35">
        <f t="shared" si="97"/>
        <v>0</v>
      </c>
      <c r="M91" s="12"/>
      <c r="N91" s="12">
        <v>0</v>
      </c>
      <c r="O91" s="35">
        <f t="shared" si="98"/>
        <v>0</v>
      </c>
      <c r="P91" s="12"/>
      <c r="Q91" s="12"/>
      <c r="R91" s="35">
        <v>40</v>
      </c>
      <c r="S91" s="35">
        <f t="shared" si="99"/>
        <v>32.707360000000001</v>
      </c>
      <c r="T91" s="35">
        <v>30</v>
      </c>
      <c r="U91" s="35">
        <f t="shared" si="100"/>
        <v>34.342728000000001</v>
      </c>
      <c r="V91" s="35">
        <v>30</v>
      </c>
      <c r="W91" s="35">
        <f t="shared" si="101"/>
        <v>34.342728000000001</v>
      </c>
      <c r="X91" s="12">
        <f>F91+H91+J91+L91+M91+O91+Q91+S91+U91+W91</f>
        <v>183.161216</v>
      </c>
      <c r="Y91" s="65">
        <f>3000/1970</f>
        <v>1.5228426395939085</v>
      </c>
      <c r="Z91" s="65">
        <f>X91*0.06</f>
        <v>10.98967296</v>
      </c>
      <c r="AA91" s="65">
        <f>X91*0.07</f>
        <v>12.821285120000001</v>
      </c>
      <c r="AB91" s="65">
        <f>X91+Y91+Z91+AA91</f>
        <v>208.49501671959391</v>
      </c>
      <c r="AC91" s="12">
        <f t="shared" si="80"/>
        <v>62.965495049317354</v>
      </c>
      <c r="AD91" s="12"/>
      <c r="AE91" s="65">
        <f t="shared" si="81"/>
        <v>10.560272596847431</v>
      </c>
      <c r="AF91" s="12" t="s">
        <v>143</v>
      </c>
      <c r="AG91" s="35">
        <v>2.4900000000000002</v>
      </c>
      <c r="AH91" s="35">
        <v>5</v>
      </c>
      <c r="AI91" s="66">
        <v>5</v>
      </c>
      <c r="AJ91" s="66"/>
      <c r="AK91" s="66">
        <v>5</v>
      </c>
      <c r="AL91" s="65">
        <f>(AI91*9+AK91*3)/12</f>
        <v>5</v>
      </c>
      <c r="AM91" s="65">
        <f>AG91*AL91</f>
        <v>12.450000000000001</v>
      </c>
      <c r="AN91" s="12"/>
      <c r="AO91" s="12"/>
      <c r="AP91" s="12"/>
      <c r="AQ91" s="65"/>
      <c r="AR91" s="35"/>
      <c r="AS91" s="35"/>
      <c r="AT91" s="35"/>
      <c r="AU91" s="35"/>
      <c r="AV91" s="35"/>
      <c r="AW91" s="67"/>
      <c r="AX91" s="35">
        <v>48.62</v>
      </c>
      <c r="AY91" s="12">
        <v>17.510000000000002</v>
      </c>
      <c r="AZ91" s="12"/>
      <c r="BA91" s="12">
        <v>5.19</v>
      </c>
      <c r="BB91" s="12"/>
      <c r="BC91" s="169">
        <f t="shared" si="91"/>
        <v>355.23051176891124</v>
      </c>
      <c r="BD91" s="166">
        <f t="shared" si="94"/>
        <v>41.699003343918783</v>
      </c>
      <c r="BE91" s="169">
        <f>BC91+AE91+BD91</f>
        <v>407.48978770967744</v>
      </c>
      <c r="BF91" s="172">
        <f>BC91-AD91</f>
        <v>355.23051176891124</v>
      </c>
    </row>
    <row r="92" spans="1:58" ht="78" customHeight="1">
      <c r="A92" s="28" t="s">
        <v>198</v>
      </c>
      <c r="B92" s="20" t="s">
        <v>197</v>
      </c>
      <c r="C92" s="7"/>
      <c r="D92" s="10"/>
      <c r="E92" s="40"/>
      <c r="F92" s="41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12"/>
      <c r="Y92" s="12"/>
      <c r="Z92" s="12"/>
      <c r="AA92" s="12"/>
      <c r="AB92" s="12"/>
      <c r="AC92" s="12"/>
      <c r="AD92" s="12"/>
      <c r="AE92" s="65"/>
      <c r="AF92" s="12"/>
      <c r="AG92" s="12"/>
      <c r="AH92" s="35"/>
      <c r="AI92" s="66"/>
      <c r="AJ92" s="66"/>
      <c r="AK92" s="66"/>
      <c r="AL92" s="65"/>
      <c r="AM92" s="65"/>
      <c r="AN92" s="12"/>
      <c r="AO92" s="12"/>
      <c r="AP92" s="12"/>
      <c r="AQ92" s="65"/>
      <c r="AR92" s="35"/>
      <c r="AS92" s="35"/>
      <c r="AT92" s="35"/>
      <c r="AU92" s="35"/>
      <c r="AV92" s="35"/>
      <c r="AW92" s="67"/>
      <c r="AX92" s="35"/>
      <c r="AY92" s="12"/>
      <c r="AZ92" s="12"/>
      <c r="BA92" s="12"/>
      <c r="BB92" s="12"/>
      <c r="BC92" s="169"/>
      <c r="BD92" s="165"/>
      <c r="BE92" s="169"/>
      <c r="BF92" s="172"/>
    </row>
    <row r="93" spans="1:58" ht="78" customHeight="1">
      <c r="A93" s="28"/>
      <c r="B93" s="20" t="s">
        <v>149</v>
      </c>
      <c r="C93" s="7"/>
      <c r="D93" s="10" t="s">
        <v>153</v>
      </c>
      <c r="E93" s="32">
        <v>5</v>
      </c>
      <c r="F93" s="41">
        <v>70.55</v>
      </c>
      <c r="G93" s="12">
        <v>4</v>
      </c>
      <c r="H93" s="35">
        <f t="shared" ref="H93:H99" si="102">F93*G93/100</f>
        <v>2.8220000000000001</v>
      </c>
      <c r="I93" s="12"/>
      <c r="J93" s="35">
        <f t="shared" ref="J93:J99" si="103">F93*I93/100</f>
        <v>0</v>
      </c>
      <c r="K93" s="12"/>
      <c r="L93" s="35">
        <f t="shared" ref="L93:L99" si="104">F93*K93/100</f>
        <v>0</v>
      </c>
      <c r="M93" s="12"/>
      <c r="N93" s="12"/>
      <c r="O93" s="35">
        <f t="shared" ref="O93:O99" si="105">F93*N93/100</f>
        <v>0</v>
      </c>
      <c r="P93" s="12"/>
      <c r="Q93" s="35"/>
      <c r="R93" s="35">
        <v>40</v>
      </c>
      <c r="S93" s="35">
        <f>(F93+H93+J93+L93+M93+O93+Q93)*R93/100</f>
        <v>29.348800000000001</v>
      </c>
      <c r="T93" s="35">
        <v>30</v>
      </c>
      <c r="U93" s="35">
        <f>(F93+H93+J93+L93+M93+O93+Q93+S93)*30/100</f>
        <v>30.816239999999997</v>
      </c>
      <c r="V93" s="35">
        <v>30</v>
      </c>
      <c r="W93" s="35">
        <f t="shared" ref="W93:W99" si="106">U93</f>
        <v>30.816239999999997</v>
      </c>
      <c r="X93" s="12">
        <f>F93+H93+J93+L93+M93+O93+Q93+S93+U93+W93</f>
        <v>164.35327999999998</v>
      </c>
      <c r="Y93" s="65">
        <f>3000/1970</f>
        <v>1.5228426395939085</v>
      </c>
      <c r="Z93" s="65">
        <f>X93*0.06</f>
        <v>9.8611967999999983</v>
      </c>
      <c r="AA93" s="65">
        <f t="shared" ref="AA93:AA99" si="107">X93*0.07</f>
        <v>11.504729599999999</v>
      </c>
      <c r="AB93" s="65">
        <f t="shared" ref="AB93:AB99" si="108">X93+Y93+Z93+AA93</f>
        <v>187.24204903959387</v>
      </c>
      <c r="AC93" s="12">
        <f t="shared" ref="AC93:AC99" si="109">AB93*0.302</f>
        <v>56.547098809957347</v>
      </c>
      <c r="AD93" s="12"/>
      <c r="AE93" s="65">
        <f t="shared" ref="AE93:AE99" si="110">AB93*1.013*0.05</f>
        <v>9.4838097838554294</v>
      </c>
      <c r="AF93" s="12"/>
      <c r="AG93" s="12"/>
      <c r="AH93" s="35"/>
      <c r="AI93" s="66"/>
      <c r="AJ93" s="66"/>
      <c r="AK93" s="66"/>
      <c r="AL93" s="65">
        <f>(AI93*9+AK93*3)/12</f>
        <v>0</v>
      </c>
      <c r="AM93" s="65">
        <f>AG93*AL93</f>
        <v>0</v>
      </c>
      <c r="AN93" s="12"/>
      <c r="AO93" s="12"/>
      <c r="AP93" s="12"/>
      <c r="AQ93" s="65"/>
      <c r="AR93" s="35"/>
      <c r="AS93" s="35"/>
      <c r="AT93" s="35"/>
      <c r="AU93" s="35"/>
      <c r="AV93" s="35"/>
      <c r="AW93" s="67"/>
      <c r="AX93" s="35">
        <v>48.62</v>
      </c>
      <c r="AY93" s="12">
        <v>17.510000000000002</v>
      </c>
      <c r="AZ93" s="12"/>
      <c r="BA93" s="12">
        <v>5.19</v>
      </c>
      <c r="BB93" s="12"/>
      <c r="BC93" s="169">
        <f>AB93+AC93+AD93+AM93+AQ93+AW93+AX93+AY93+AZ93+BA93+BB93+AB94+AC94</f>
        <v>491.26284896792686</v>
      </c>
      <c r="BD93" s="166">
        <f>AB93*0.2</f>
        <v>37.448409807918772</v>
      </c>
      <c r="BE93" s="173">
        <f>BC93+BD93+AE93</f>
        <v>538.1950685597011</v>
      </c>
      <c r="BF93" s="172">
        <f>BC93-AD93</f>
        <v>491.26284896792686</v>
      </c>
    </row>
    <row r="94" spans="1:58" ht="78" customHeight="1">
      <c r="A94" s="28"/>
      <c r="B94" s="20"/>
      <c r="C94" s="7"/>
      <c r="D94" s="10" t="s">
        <v>159</v>
      </c>
      <c r="E94" s="32"/>
      <c r="F94" s="44">
        <v>106.3</v>
      </c>
      <c r="G94" s="12"/>
      <c r="H94" s="35">
        <f t="shared" si="102"/>
        <v>0</v>
      </c>
      <c r="I94" s="12"/>
      <c r="J94" s="35">
        <f t="shared" si="103"/>
        <v>0</v>
      </c>
      <c r="K94" s="12"/>
      <c r="L94" s="35">
        <f t="shared" si="104"/>
        <v>0</v>
      </c>
      <c r="M94" s="12"/>
      <c r="N94" s="12"/>
      <c r="O94" s="35">
        <f t="shared" si="105"/>
        <v>0</v>
      </c>
      <c r="P94" s="12"/>
      <c r="Q94" s="35"/>
      <c r="R94" s="35">
        <v>40</v>
      </c>
      <c r="S94" s="35">
        <f>(F94+H94+J94+L94+M94+O94+Q94)*R94/100*0.5</f>
        <v>21.26</v>
      </c>
      <c r="T94" s="35">
        <v>30</v>
      </c>
      <c r="U94" s="35">
        <f>((F94+H94+J94+L94+M94+O94+Q94)*0.5+S94)*30/100</f>
        <v>22.322999999999997</v>
      </c>
      <c r="V94" s="35">
        <v>30</v>
      </c>
      <c r="W94" s="35">
        <f t="shared" si="106"/>
        <v>22.322999999999997</v>
      </c>
      <c r="X94" s="12">
        <f>F94*0.5+H94+J94+L94+M94+O94+Q94+S94+U94+W94</f>
        <v>119.05599999999998</v>
      </c>
      <c r="Y94" s="65">
        <f>3000/1970/2</f>
        <v>0.76142131979695427</v>
      </c>
      <c r="Z94" s="65">
        <f>X94*0.06</f>
        <v>7.1433599999999986</v>
      </c>
      <c r="AA94" s="65">
        <f t="shared" si="107"/>
        <v>8.3339199999999991</v>
      </c>
      <c r="AB94" s="65">
        <f t="shared" si="108"/>
        <v>135.29470131979693</v>
      </c>
      <c r="AC94" s="12">
        <f t="shared" si="109"/>
        <v>40.858999798578672</v>
      </c>
      <c r="AD94" s="12"/>
      <c r="AE94" s="65"/>
      <c r="AF94" s="12"/>
      <c r="AG94" s="12"/>
      <c r="AH94" s="35"/>
      <c r="AI94" s="66"/>
      <c r="AJ94" s="66"/>
      <c r="AK94" s="66"/>
      <c r="AL94" s="65"/>
      <c r="AM94" s="65"/>
      <c r="AN94" s="12"/>
      <c r="AO94" s="12"/>
      <c r="AP94" s="12"/>
      <c r="AQ94" s="65"/>
      <c r="AR94" s="35"/>
      <c r="AS94" s="35"/>
      <c r="AT94" s="35"/>
      <c r="AU94" s="35"/>
      <c r="AV94" s="35"/>
      <c r="AW94" s="67"/>
      <c r="AX94" s="35"/>
      <c r="AY94" s="12"/>
      <c r="AZ94" s="12"/>
      <c r="BA94" s="12"/>
      <c r="BB94" s="12"/>
      <c r="BC94" s="169"/>
      <c r="BD94" s="165"/>
      <c r="BE94" s="169"/>
      <c r="BF94" s="172"/>
    </row>
    <row r="95" spans="1:58" ht="78" customHeight="1">
      <c r="A95" s="28"/>
      <c r="B95" s="20" t="s">
        <v>151</v>
      </c>
      <c r="C95" s="7"/>
      <c r="D95" s="10" t="s">
        <v>153</v>
      </c>
      <c r="E95" s="32">
        <v>5</v>
      </c>
      <c r="F95" s="41">
        <v>70.55</v>
      </c>
      <c r="G95" s="12">
        <v>4</v>
      </c>
      <c r="H95" s="35">
        <f t="shared" si="102"/>
        <v>2.8220000000000001</v>
      </c>
      <c r="I95" s="12"/>
      <c r="J95" s="35">
        <f t="shared" si="103"/>
        <v>0</v>
      </c>
      <c r="K95" s="12"/>
      <c r="L95" s="35">
        <f t="shared" si="104"/>
        <v>0</v>
      </c>
      <c r="M95" s="12"/>
      <c r="N95" s="12"/>
      <c r="O95" s="35">
        <f t="shared" si="105"/>
        <v>0</v>
      </c>
      <c r="P95" s="12"/>
      <c r="Q95" s="35"/>
      <c r="R95" s="35">
        <v>40</v>
      </c>
      <c r="S95" s="35">
        <f>(F95+H95+J95+L95+M95+O95+Q95)*R95/100</f>
        <v>29.348800000000001</v>
      </c>
      <c r="T95" s="35">
        <v>30</v>
      </c>
      <c r="U95" s="35">
        <f>(F95+H95+J95+L95+M95+O95+Q95+S95)*30/100</f>
        <v>30.816239999999997</v>
      </c>
      <c r="V95" s="35">
        <v>30</v>
      </c>
      <c r="W95" s="35">
        <f t="shared" si="106"/>
        <v>30.816239999999997</v>
      </c>
      <c r="X95" s="12">
        <f>F95+H95+J95+L95+M95+O95+Q95+S95+U95+W95</f>
        <v>164.35327999999998</v>
      </c>
      <c r="Y95" s="65">
        <f>3000/1970</f>
        <v>1.5228426395939085</v>
      </c>
      <c r="Z95" s="65">
        <f>X95*0.06</f>
        <v>9.8611967999999983</v>
      </c>
      <c r="AA95" s="65">
        <f t="shared" si="107"/>
        <v>11.504729599999999</v>
      </c>
      <c r="AB95" s="65">
        <f t="shared" si="108"/>
        <v>187.24204903959387</v>
      </c>
      <c r="AC95" s="12">
        <f t="shared" si="109"/>
        <v>56.547098809957347</v>
      </c>
      <c r="AD95" s="12"/>
      <c r="AE95" s="65">
        <f t="shared" si="110"/>
        <v>9.4838097838554294</v>
      </c>
      <c r="AF95" s="12"/>
      <c r="AG95" s="12"/>
      <c r="AH95" s="35"/>
      <c r="AI95" s="66"/>
      <c r="AJ95" s="66"/>
      <c r="AK95" s="66"/>
      <c r="AL95" s="65">
        <f>(AI95*9+AK95*3)/12</f>
        <v>0</v>
      </c>
      <c r="AM95" s="65">
        <f>AG95*AL95</f>
        <v>0</v>
      </c>
      <c r="AN95" s="12"/>
      <c r="AO95" s="12"/>
      <c r="AP95" s="12"/>
      <c r="AQ95" s="65"/>
      <c r="AR95" s="35"/>
      <c r="AS95" s="35"/>
      <c r="AT95" s="35"/>
      <c r="AU95" s="35"/>
      <c r="AV95" s="35"/>
      <c r="AW95" s="67"/>
      <c r="AX95" s="35">
        <v>48.62</v>
      </c>
      <c r="AY95" s="12">
        <v>17.510000000000002</v>
      </c>
      <c r="AZ95" s="12"/>
      <c r="BA95" s="12">
        <v>5.19</v>
      </c>
      <c r="BB95" s="31">
        <v>586.07000000000005</v>
      </c>
      <c r="BC95" s="169">
        <f>AB95+AC95+AD95+AM95+AQ95+AW95+AX95+AY95+AZ95+BA95+BB95+AB96+AC96</f>
        <v>1077.332848967927</v>
      </c>
      <c r="BD95" s="166">
        <f>AB95*0.2</f>
        <v>37.448409807918772</v>
      </c>
      <c r="BE95" s="169">
        <f>BC95+AE95+BD95</f>
        <v>1124.2650685597011</v>
      </c>
      <c r="BF95" s="172">
        <f>BC95-AD95</f>
        <v>1077.332848967927</v>
      </c>
    </row>
    <row r="96" spans="1:58" ht="78" customHeight="1">
      <c r="A96" s="28"/>
      <c r="B96" s="20"/>
      <c r="C96" s="12"/>
      <c r="D96" s="10" t="s">
        <v>159</v>
      </c>
      <c r="E96" s="40"/>
      <c r="F96" s="44">
        <v>106.3</v>
      </c>
      <c r="G96" s="12"/>
      <c r="H96" s="35">
        <f t="shared" si="102"/>
        <v>0</v>
      </c>
      <c r="I96" s="12"/>
      <c r="J96" s="35">
        <f t="shared" si="103"/>
        <v>0</v>
      </c>
      <c r="K96" s="12"/>
      <c r="L96" s="35">
        <f t="shared" si="104"/>
        <v>0</v>
      </c>
      <c r="M96" s="12"/>
      <c r="N96" s="12"/>
      <c r="O96" s="35">
        <f t="shared" si="105"/>
        <v>0</v>
      </c>
      <c r="P96" s="12"/>
      <c r="Q96" s="35"/>
      <c r="R96" s="35">
        <v>40</v>
      </c>
      <c r="S96" s="35">
        <f>(F96+H96+J96+L96+M96+O96+Q96)*R96/100*0.5</f>
        <v>21.26</v>
      </c>
      <c r="T96" s="35">
        <v>30</v>
      </c>
      <c r="U96" s="35">
        <f>((F96+H96+J96+L96+M96+O96+Q96)*0.5+S96)*30/100</f>
        <v>22.322999999999997</v>
      </c>
      <c r="V96" s="35">
        <v>30</v>
      </c>
      <c r="W96" s="35">
        <f t="shared" si="106"/>
        <v>22.322999999999997</v>
      </c>
      <c r="X96" s="12">
        <f>F96*0.5+H96+J96+L96+M96+O96+Q96+S96+U96+W96</f>
        <v>119.05599999999998</v>
      </c>
      <c r="Y96" s="65">
        <f>3000/1970/2</f>
        <v>0.76142131979695427</v>
      </c>
      <c r="Z96" s="65">
        <f>X96*0.06</f>
        <v>7.1433599999999986</v>
      </c>
      <c r="AA96" s="65">
        <f t="shared" si="107"/>
        <v>8.3339199999999991</v>
      </c>
      <c r="AB96" s="65">
        <f t="shared" si="108"/>
        <v>135.29470131979693</v>
      </c>
      <c r="AC96" s="12">
        <f t="shared" si="109"/>
        <v>40.858999798578672</v>
      </c>
      <c r="AD96" s="12"/>
      <c r="AE96" s="65"/>
      <c r="AF96" s="9"/>
      <c r="AG96" s="9"/>
      <c r="AH96" s="35"/>
      <c r="AI96" s="35"/>
      <c r="AJ96" s="35"/>
      <c r="AK96" s="35"/>
      <c r="AL96" s="65"/>
      <c r="AM96" s="65"/>
      <c r="AN96" s="12"/>
      <c r="AO96" s="12"/>
      <c r="AP96" s="12"/>
      <c r="AQ96" s="65"/>
      <c r="AR96" s="35"/>
      <c r="AS96" s="35"/>
      <c r="AT96" s="35"/>
      <c r="AU96" s="35"/>
      <c r="AV96" s="35"/>
      <c r="AW96" s="67"/>
      <c r="AX96" s="35"/>
      <c r="AY96" s="12"/>
      <c r="AZ96" s="12"/>
      <c r="BA96" s="12"/>
      <c r="BB96" s="12"/>
      <c r="BC96" s="169"/>
      <c r="BD96" s="165"/>
      <c r="BE96" s="169"/>
      <c r="BF96" s="172"/>
    </row>
    <row r="97" spans="1:58" ht="127.5" customHeight="1">
      <c r="A97" s="28" t="s">
        <v>199</v>
      </c>
      <c r="B97" s="140" t="s">
        <v>202</v>
      </c>
      <c r="C97" s="136"/>
      <c r="D97" s="104" t="s">
        <v>200</v>
      </c>
      <c r="E97" s="87">
        <v>5</v>
      </c>
      <c r="F97" s="41">
        <v>70.55</v>
      </c>
      <c r="G97" s="89">
        <v>4</v>
      </c>
      <c r="H97" s="137">
        <f t="shared" si="102"/>
        <v>2.8220000000000001</v>
      </c>
      <c r="I97" s="89"/>
      <c r="J97" s="89">
        <f t="shared" si="103"/>
        <v>0</v>
      </c>
      <c r="K97" s="89">
        <v>0</v>
      </c>
      <c r="L97" s="89">
        <f t="shared" si="104"/>
        <v>0</v>
      </c>
      <c r="M97" s="105">
        <v>0</v>
      </c>
      <c r="N97" s="89">
        <v>0</v>
      </c>
      <c r="O97" s="89">
        <f t="shared" si="105"/>
        <v>0</v>
      </c>
      <c r="P97" s="89"/>
      <c r="Q97" s="89"/>
      <c r="R97" s="89">
        <v>40</v>
      </c>
      <c r="S97" s="89">
        <f>(F97+H97+J97+L97+M97+O97+Q97)*R97/100</f>
        <v>29.348800000000001</v>
      </c>
      <c r="T97" s="89">
        <v>30</v>
      </c>
      <c r="U97" s="89">
        <f>(F97+H97+J97+L97+M97+O97+Q97+S97)*30/100</f>
        <v>30.816239999999997</v>
      </c>
      <c r="V97" s="89">
        <v>30</v>
      </c>
      <c r="W97" s="89">
        <f t="shared" si="106"/>
        <v>30.816239999999997</v>
      </c>
      <c r="X97" s="90">
        <f>(F97+H97+J97+L97+M97+O97+Q97+S97+U97+W97)*2</f>
        <v>328.70655999999997</v>
      </c>
      <c r="Y97" s="90">
        <f>3000/1970*2</f>
        <v>3.0456852791878171</v>
      </c>
      <c r="Z97" s="65">
        <f>(X97-S97*2*1.6)*0.06</f>
        <v>14.087423999999999</v>
      </c>
      <c r="AA97" s="90">
        <f t="shared" si="107"/>
        <v>23.009459199999998</v>
      </c>
      <c r="AB97" s="90">
        <f t="shared" si="108"/>
        <v>368.84912847918775</v>
      </c>
      <c r="AC97" s="12">
        <f t="shared" si="109"/>
        <v>111.39243680071471</v>
      </c>
      <c r="AD97" s="90">
        <f>AB97*0.098</f>
        <v>36.147214590960402</v>
      </c>
      <c r="AE97" s="65">
        <f t="shared" si="110"/>
        <v>18.682208357470859</v>
      </c>
      <c r="AF97" s="12" t="s">
        <v>167</v>
      </c>
      <c r="AG97" s="12">
        <v>32.83</v>
      </c>
      <c r="AH97" s="94">
        <v>40.6</v>
      </c>
      <c r="AI97" s="91">
        <f>AH97</f>
        <v>40.6</v>
      </c>
      <c r="AJ97" s="92">
        <f>AH97*1.07</f>
        <v>43.442000000000007</v>
      </c>
      <c r="AK97" s="91">
        <f>AI97*1.15</f>
        <v>46.69</v>
      </c>
      <c r="AL97" s="90">
        <f>(AI97*9+AK97*3)/12</f>
        <v>42.122500000000002</v>
      </c>
      <c r="AM97" s="90">
        <f>AG97*AL97</f>
        <v>1382.8816750000001</v>
      </c>
      <c r="AN97" s="35" t="s">
        <v>73</v>
      </c>
      <c r="AO97" s="35">
        <v>52.25</v>
      </c>
      <c r="AP97" s="138">
        <f>0.0007*405/AG97*100</f>
        <v>0.86353944562899787</v>
      </c>
      <c r="AQ97" s="90">
        <f>AG97*AP97/100*AO97</f>
        <v>14.812874999999998</v>
      </c>
      <c r="AR97" s="141"/>
      <c r="AS97" s="35"/>
      <c r="AT97" s="35"/>
      <c r="AU97" s="138"/>
      <c r="AV97" s="90"/>
      <c r="AW97" s="35"/>
      <c r="AX97" s="35">
        <v>48.62</v>
      </c>
      <c r="AY97" s="12">
        <v>17.510000000000002</v>
      </c>
      <c r="AZ97" s="88">
        <f>451.82/2</f>
        <v>225.91</v>
      </c>
      <c r="BA97" s="12">
        <v>5.19</v>
      </c>
      <c r="BB97" s="67"/>
      <c r="BC97" s="169">
        <f>AB97+AC97+AD97+AM97+AQ97+AW97+AX97+AY97+AZ97+BA97+BB97</f>
        <v>2211.3133298708631</v>
      </c>
      <c r="BD97" s="166">
        <f>AB97*0.2</f>
        <v>73.769825695837554</v>
      </c>
      <c r="BE97" s="169">
        <f>BC97+AE97+BD97</f>
        <v>2303.7653639241712</v>
      </c>
      <c r="BF97" s="172">
        <f>BC97-AD97</f>
        <v>2175.1661152799024</v>
      </c>
    </row>
    <row r="98" spans="1:58" ht="90.75" customHeight="1">
      <c r="A98" s="28" t="s">
        <v>205</v>
      </c>
      <c r="B98" s="35" t="s">
        <v>203</v>
      </c>
      <c r="C98" s="136"/>
      <c r="D98" s="104" t="s">
        <v>200</v>
      </c>
      <c r="E98" s="87">
        <v>5</v>
      </c>
      <c r="F98" s="41">
        <v>70.55</v>
      </c>
      <c r="G98" s="89">
        <v>4</v>
      </c>
      <c r="H98" s="137">
        <f t="shared" si="102"/>
        <v>2.8220000000000001</v>
      </c>
      <c r="I98" s="89"/>
      <c r="J98" s="89">
        <f t="shared" si="103"/>
        <v>0</v>
      </c>
      <c r="K98" s="89">
        <v>0</v>
      </c>
      <c r="L98" s="89">
        <f t="shared" si="104"/>
        <v>0</v>
      </c>
      <c r="M98" s="105">
        <v>0</v>
      </c>
      <c r="N98" s="89">
        <v>0</v>
      </c>
      <c r="O98" s="89">
        <f t="shared" si="105"/>
        <v>0</v>
      </c>
      <c r="P98" s="89"/>
      <c r="Q98" s="89"/>
      <c r="R98" s="89">
        <v>40</v>
      </c>
      <c r="S98" s="89">
        <f>(F98+H98+J98+L98+M98+O98+Q98)*R98/100</f>
        <v>29.348800000000001</v>
      </c>
      <c r="T98" s="89">
        <v>30</v>
      </c>
      <c r="U98" s="89">
        <f>(F98+H98+J98+L98+M98+O98+Q98+S98)*30/100</f>
        <v>30.816239999999997</v>
      </c>
      <c r="V98" s="89">
        <v>30</v>
      </c>
      <c r="W98" s="89">
        <f t="shared" si="106"/>
        <v>30.816239999999997</v>
      </c>
      <c r="X98" s="90">
        <f>(F98+H98+J98+L98+M98+O98+Q98+S98+U98+W98)*2</f>
        <v>328.70655999999997</v>
      </c>
      <c r="Y98" s="90">
        <f>3000/1970*2</f>
        <v>3.0456852791878171</v>
      </c>
      <c r="Z98" s="65">
        <f>(X98-S98*2*1.6)*0.06</f>
        <v>14.087423999999999</v>
      </c>
      <c r="AA98" s="90">
        <f t="shared" si="107"/>
        <v>23.009459199999998</v>
      </c>
      <c r="AB98" s="90">
        <f t="shared" si="108"/>
        <v>368.84912847918775</v>
      </c>
      <c r="AC98" s="12">
        <f t="shared" si="109"/>
        <v>111.39243680071471</v>
      </c>
      <c r="AD98" s="90">
        <f>AB98*0.098</f>
        <v>36.147214590960402</v>
      </c>
      <c r="AE98" s="65">
        <f t="shared" si="110"/>
        <v>18.682208357470859</v>
      </c>
      <c r="AF98" s="12" t="s">
        <v>167</v>
      </c>
      <c r="AG98" s="12">
        <v>32.83</v>
      </c>
      <c r="AH98" s="94">
        <v>66.819999999999993</v>
      </c>
      <c r="AI98" s="91">
        <f>AH98</f>
        <v>66.819999999999993</v>
      </c>
      <c r="AJ98" s="92">
        <f>AH98*1.07</f>
        <v>71.497399999999999</v>
      </c>
      <c r="AK98" s="91">
        <f>AI98*1.15</f>
        <v>76.842999999999989</v>
      </c>
      <c r="AL98" s="90">
        <f>(AI98*9+AK98*3)/12</f>
        <v>69.325749999999985</v>
      </c>
      <c r="AM98" s="90">
        <f>AG98*AL98</f>
        <v>2275.9643724999992</v>
      </c>
      <c r="AN98" s="35" t="s">
        <v>73</v>
      </c>
      <c r="AO98" s="35">
        <v>52.25</v>
      </c>
      <c r="AP98" s="138">
        <f>0.0007*405/AG98*100</f>
        <v>0.86353944562899787</v>
      </c>
      <c r="AQ98" s="90">
        <f>AG98*AP98/100*AO98</f>
        <v>14.812874999999998</v>
      </c>
      <c r="AR98" s="141"/>
      <c r="AS98" s="35"/>
      <c r="AT98" s="35"/>
      <c r="AU98" s="138"/>
      <c r="AV98" s="90"/>
      <c r="AW98" s="35"/>
      <c r="AX98" s="35">
        <v>48.62</v>
      </c>
      <c r="AY98" s="12">
        <v>17.510000000000002</v>
      </c>
      <c r="AZ98" s="88">
        <f>451.82/2</f>
        <v>225.91</v>
      </c>
      <c r="BA98" s="12">
        <v>5.19</v>
      </c>
      <c r="BB98" s="67"/>
      <c r="BC98" s="169">
        <f>AB98+AC98+AD98+AM98+AQ98+AW98+AX98+AY98+AZ98+BA98+BB98</f>
        <v>3104.3960273708622</v>
      </c>
      <c r="BD98" s="166">
        <f>AB98*0.2</f>
        <v>73.769825695837554</v>
      </c>
      <c r="BE98" s="169">
        <f>BC98+AE98+BD98</f>
        <v>3196.8480614241703</v>
      </c>
      <c r="BF98" s="172">
        <f>BC98-AD98</f>
        <v>3068.2488127799015</v>
      </c>
    </row>
    <row r="99" spans="1:58" ht="90.75" customHeight="1" thickBot="1">
      <c r="A99" s="131" t="s">
        <v>206</v>
      </c>
      <c r="B99" s="38" t="s">
        <v>204</v>
      </c>
      <c r="C99" s="142"/>
      <c r="D99" s="95" t="s">
        <v>200</v>
      </c>
      <c r="E99" s="96">
        <v>5</v>
      </c>
      <c r="F99" s="45">
        <v>70.55</v>
      </c>
      <c r="G99" s="97">
        <v>4</v>
      </c>
      <c r="H99" s="143">
        <f t="shared" si="102"/>
        <v>2.8220000000000001</v>
      </c>
      <c r="I99" s="97"/>
      <c r="J99" s="97">
        <f t="shared" si="103"/>
        <v>0</v>
      </c>
      <c r="K99" s="97">
        <v>0</v>
      </c>
      <c r="L99" s="97">
        <f t="shared" si="104"/>
        <v>0</v>
      </c>
      <c r="M99" s="98">
        <v>0</v>
      </c>
      <c r="N99" s="97">
        <v>0</v>
      </c>
      <c r="O99" s="97">
        <f t="shared" si="105"/>
        <v>0</v>
      </c>
      <c r="P99" s="97"/>
      <c r="Q99" s="97"/>
      <c r="R99" s="97">
        <v>40</v>
      </c>
      <c r="S99" s="97">
        <f>(F99+H99+J99+L99+M99+O99+Q99)*R99/100</f>
        <v>29.348800000000001</v>
      </c>
      <c r="T99" s="97">
        <v>30</v>
      </c>
      <c r="U99" s="97">
        <f>(F99+H99+J99+L99+M99+O99+Q99+S99)*30/100</f>
        <v>30.816239999999997</v>
      </c>
      <c r="V99" s="97">
        <v>30</v>
      </c>
      <c r="W99" s="97">
        <f t="shared" si="106"/>
        <v>30.816239999999997</v>
      </c>
      <c r="X99" s="100">
        <f>(F99+H99+J99+L99+M99+O99+Q99+S99+U99+W99)*2</f>
        <v>328.70655999999997</v>
      </c>
      <c r="Y99" s="100">
        <f>3000/1970*2</f>
        <v>3.0456852791878171</v>
      </c>
      <c r="Z99" s="144">
        <f>(X99-S99*2*1.6)*0.06</f>
        <v>14.087423999999999</v>
      </c>
      <c r="AA99" s="100">
        <f t="shared" si="107"/>
        <v>23.009459199999998</v>
      </c>
      <c r="AB99" s="100">
        <f t="shared" si="108"/>
        <v>368.84912847918775</v>
      </c>
      <c r="AC99" s="25">
        <f t="shared" si="109"/>
        <v>111.39243680071471</v>
      </c>
      <c r="AD99" s="100">
        <f>AB99*0.098</f>
        <v>36.147214590960402</v>
      </c>
      <c r="AE99" s="144">
        <f t="shared" si="110"/>
        <v>18.682208357470859</v>
      </c>
      <c r="AF99" s="25" t="s">
        <v>167</v>
      </c>
      <c r="AG99" s="25">
        <v>32.83</v>
      </c>
      <c r="AH99" s="103">
        <v>4.9000000000000004</v>
      </c>
      <c r="AI99" s="101">
        <f>AH99</f>
        <v>4.9000000000000004</v>
      </c>
      <c r="AJ99" s="102">
        <f>AH99*1.07</f>
        <v>5.2430000000000003</v>
      </c>
      <c r="AK99" s="101">
        <f>AI99*1.15</f>
        <v>5.6349999999999998</v>
      </c>
      <c r="AL99" s="100">
        <f>(AI99*9+AK99*3)/12</f>
        <v>5.0837500000000002</v>
      </c>
      <c r="AM99" s="100">
        <f>AG99*AL99</f>
        <v>166.89951249999999</v>
      </c>
      <c r="AN99" s="38" t="s">
        <v>73</v>
      </c>
      <c r="AO99" s="38">
        <v>52.25</v>
      </c>
      <c r="AP99" s="108">
        <f>0.0007*405/AG99*100</f>
        <v>0.86353944562899787</v>
      </c>
      <c r="AQ99" s="100">
        <f>AG99*AP99/100*AO99</f>
        <v>14.812874999999998</v>
      </c>
      <c r="AR99" s="38">
        <v>33000</v>
      </c>
      <c r="AS99" s="38">
        <v>23</v>
      </c>
      <c r="AT99" s="38" t="s">
        <v>168</v>
      </c>
      <c r="AU99" s="38">
        <v>3231</v>
      </c>
      <c r="AV99" s="38">
        <v>2</v>
      </c>
      <c r="AW99" s="145">
        <f>AU99*AV99/AR99*AS99</f>
        <v>4.5038181818181817</v>
      </c>
      <c r="AX99" s="38">
        <v>48.62</v>
      </c>
      <c r="AY99" s="25">
        <v>17.510000000000002</v>
      </c>
      <c r="AZ99" s="99">
        <f>451.82/2</f>
        <v>225.91</v>
      </c>
      <c r="BA99" s="25">
        <v>5.19</v>
      </c>
      <c r="BB99" s="145"/>
      <c r="BC99" s="170">
        <f>AB99+AC99+AD99+AM99+AQ99+AW99+AX99+AY99+AZ99+BA99+BB99</f>
        <v>999.83498555268102</v>
      </c>
      <c r="BD99" s="167">
        <f>AB99*0.2</f>
        <v>73.769825695837554</v>
      </c>
      <c r="BE99" s="170">
        <f>BC99+AE99+BD99</f>
        <v>1092.2870196059894</v>
      </c>
      <c r="BF99" s="176">
        <f>BC99-AD99</f>
        <v>963.68777096172062</v>
      </c>
    </row>
    <row r="100" spans="1:58" ht="21.75" customHeight="1">
      <c r="A100" s="17"/>
      <c r="B100" s="15"/>
      <c r="C100" s="146"/>
      <c r="D100" s="147"/>
      <c r="E100" s="148"/>
      <c r="F100" s="149"/>
      <c r="G100" s="109"/>
      <c r="H100" s="150"/>
      <c r="I100" s="109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12"/>
      <c r="Y100" s="112"/>
      <c r="Z100" s="133"/>
      <c r="AA100" s="112"/>
      <c r="AB100" s="112"/>
      <c r="AC100" s="15"/>
      <c r="AD100" s="112"/>
      <c r="AE100" s="112"/>
      <c r="AF100" s="19"/>
      <c r="AG100" s="19"/>
      <c r="AH100" s="114"/>
      <c r="AI100" s="115"/>
      <c r="AJ100" s="116"/>
      <c r="AK100" s="115"/>
      <c r="AL100" s="112"/>
      <c r="AM100" s="112"/>
      <c r="AN100" s="15"/>
      <c r="AO100" s="15"/>
      <c r="AP100" s="118"/>
      <c r="AQ100" s="112"/>
      <c r="AR100" s="15"/>
      <c r="AS100" s="15"/>
      <c r="AT100" s="15"/>
      <c r="AU100" s="15"/>
      <c r="AV100" s="15"/>
      <c r="AW100" s="134"/>
      <c r="AX100" s="15"/>
      <c r="AY100" s="15"/>
      <c r="AZ100" s="111"/>
      <c r="BA100" s="15"/>
      <c r="BB100" s="134"/>
      <c r="BC100" s="15"/>
      <c r="BD100" s="19"/>
      <c r="BE100" s="111"/>
      <c r="BF100" s="19"/>
    </row>
    <row r="101" spans="1:58" ht="18" customHeight="1">
      <c r="A101" s="17"/>
      <c r="B101" s="18"/>
      <c r="C101" s="19"/>
      <c r="D101" s="120"/>
      <c r="E101" s="132"/>
      <c r="F101" s="135"/>
      <c r="G101" s="19"/>
      <c r="H101" s="15"/>
      <c r="I101" s="19"/>
      <c r="J101" s="15"/>
      <c r="K101" s="19"/>
      <c r="L101" s="15"/>
      <c r="M101" s="19"/>
      <c r="N101" s="19"/>
      <c r="O101" s="15"/>
      <c r="P101" s="19"/>
      <c r="Q101" s="15"/>
      <c r="R101" s="15"/>
      <c r="S101" s="15"/>
      <c r="T101" s="15"/>
      <c r="U101" s="15"/>
      <c r="V101" s="15"/>
      <c r="W101" s="15"/>
      <c r="X101" s="19"/>
      <c r="Y101" s="133"/>
      <c r="Z101" s="133"/>
      <c r="AA101" s="133"/>
      <c r="AB101" s="133"/>
      <c r="AC101" s="19"/>
      <c r="AD101" s="19"/>
      <c r="AE101" s="133"/>
      <c r="AF101" s="113"/>
      <c r="AG101" s="113"/>
      <c r="AH101" s="15"/>
      <c r="AI101" s="15"/>
      <c r="AJ101" s="15"/>
      <c r="AK101" s="15"/>
      <c r="AL101" s="133"/>
      <c r="AM101" s="133"/>
      <c r="AN101" s="19"/>
      <c r="AO101" s="19"/>
      <c r="AP101" s="19"/>
      <c r="AQ101" s="133"/>
      <c r="AR101" s="15"/>
      <c r="AS101" s="15"/>
      <c r="AT101" s="15"/>
      <c r="AU101" s="15"/>
      <c r="AV101" s="15"/>
      <c r="AW101" s="134"/>
      <c r="AX101" s="15"/>
      <c r="AY101" s="19"/>
      <c r="AZ101" s="19"/>
      <c r="BA101" s="19"/>
      <c r="BB101" s="19"/>
      <c r="BC101" s="133"/>
      <c r="BD101" s="133"/>
      <c r="BE101" s="133"/>
      <c r="BF101" s="133"/>
    </row>
    <row r="102" spans="1:58" ht="30.75" customHeight="1">
      <c r="A102" s="127" t="s">
        <v>90</v>
      </c>
      <c r="B102" s="128"/>
      <c r="C102" s="127"/>
      <c r="D102" s="127"/>
      <c r="E102" s="129"/>
      <c r="G102" s="129"/>
      <c r="H102" s="109"/>
      <c r="I102" s="109"/>
      <c r="J102" s="109"/>
      <c r="K102" s="109"/>
      <c r="L102" s="109"/>
      <c r="M102" s="110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11"/>
      <c r="Y102" s="112"/>
      <c r="Z102" s="112"/>
      <c r="AA102" s="112"/>
      <c r="AB102" s="112"/>
      <c r="AC102" s="111"/>
      <c r="AD102" s="112"/>
      <c r="AE102" s="112"/>
      <c r="AF102" s="79" t="s">
        <v>91</v>
      </c>
      <c r="AG102" s="19"/>
      <c r="AH102" s="114"/>
      <c r="AI102" s="115"/>
      <c r="AJ102" s="116"/>
      <c r="AL102" s="112"/>
      <c r="AM102" s="112"/>
      <c r="AN102" s="117"/>
      <c r="AO102" s="117"/>
      <c r="AP102" s="118"/>
      <c r="AQ102" s="112"/>
      <c r="AR102" s="119"/>
      <c r="AS102" s="119"/>
      <c r="AT102" s="120"/>
      <c r="AU102" s="120"/>
      <c r="AV102" s="119"/>
      <c r="AW102" s="114"/>
      <c r="AX102" s="15"/>
      <c r="AY102" s="19"/>
      <c r="AZ102" s="111"/>
      <c r="BA102" s="19"/>
      <c r="BB102" s="111"/>
      <c r="BC102" s="112"/>
      <c r="BD102" s="112"/>
      <c r="BE102" s="121"/>
      <c r="BF102" s="121"/>
    </row>
    <row r="103" spans="1:58" ht="31.5" customHeight="1">
      <c r="A103" s="127"/>
      <c r="B103" s="128"/>
      <c r="C103" s="127"/>
      <c r="D103" s="127"/>
      <c r="E103" s="129"/>
      <c r="F103" s="129"/>
      <c r="G103" s="129"/>
      <c r="H103" s="109"/>
      <c r="I103" s="109"/>
      <c r="J103" s="109"/>
      <c r="K103" s="109"/>
      <c r="L103" s="109"/>
      <c r="M103" s="110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11"/>
      <c r="Y103" s="112"/>
      <c r="Z103" s="112"/>
      <c r="AA103" s="112"/>
      <c r="AB103" s="112"/>
      <c r="AC103" s="111"/>
      <c r="AD103" s="112"/>
      <c r="AE103" s="112"/>
      <c r="AF103" s="113"/>
      <c r="AG103" s="19"/>
      <c r="AH103" s="114"/>
      <c r="AI103" s="115"/>
      <c r="AJ103" s="116"/>
      <c r="AK103" s="115"/>
      <c r="AL103" s="112"/>
      <c r="AM103" s="112"/>
      <c r="AN103" s="117"/>
      <c r="AO103" s="117"/>
      <c r="AP103" s="118"/>
      <c r="AQ103" s="112"/>
      <c r="AR103" s="119"/>
      <c r="AS103" s="119"/>
      <c r="AT103" s="120"/>
      <c r="AU103" s="120"/>
      <c r="AV103" s="119"/>
      <c r="AW103" s="114"/>
      <c r="AX103" s="15"/>
      <c r="AY103" s="19"/>
      <c r="AZ103" s="111"/>
      <c r="BA103" s="19"/>
      <c r="BB103" s="111"/>
      <c r="BC103" s="112"/>
      <c r="BD103" s="112"/>
      <c r="BE103" s="121"/>
      <c r="BF103" s="121"/>
    </row>
    <row r="104" spans="1:58" ht="39.75" customHeight="1">
      <c r="A104" s="127" t="s">
        <v>182</v>
      </c>
      <c r="B104" s="128"/>
      <c r="C104" s="127"/>
      <c r="D104" s="127"/>
      <c r="E104" s="129"/>
      <c r="F104" s="129"/>
      <c r="G104" s="129"/>
      <c r="H104" s="109"/>
      <c r="I104" s="109"/>
      <c r="J104" s="109"/>
      <c r="K104" s="109"/>
      <c r="L104" s="109"/>
      <c r="M104" s="110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11"/>
      <c r="Y104" s="112"/>
      <c r="Z104" s="112"/>
      <c r="AA104" s="112"/>
      <c r="AB104" s="112"/>
      <c r="AC104" s="111"/>
      <c r="AD104" s="112"/>
      <c r="AE104" s="112"/>
      <c r="AF104" s="113"/>
      <c r="AG104" s="19"/>
      <c r="AH104" s="114"/>
      <c r="AI104" s="115"/>
      <c r="AJ104" s="116"/>
      <c r="AK104" s="115"/>
      <c r="AL104" s="112"/>
      <c r="AM104" s="112"/>
      <c r="AN104" s="117"/>
      <c r="AO104" s="117"/>
      <c r="AP104" s="118"/>
      <c r="AQ104" s="112"/>
      <c r="AR104" s="119"/>
      <c r="AS104" s="119"/>
      <c r="AT104" s="120"/>
      <c r="AU104" s="120"/>
      <c r="AV104" s="119"/>
      <c r="AW104" s="114"/>
      <c r="AX104" s="15"/>
      <c r="AY104" s="19"/>
      <c r="AZ104" s="111"/>
      <c r="BA104" s="19"/>
      <c r="BB104" s="111"/>
      <c r="BC104" s="112"/>
      <c r="BD104" s="112"/>
      <c r="BE104" s="121"/>
      <c r="BF104" s="121"/>
    </row>
    <row r="105" spans="1:58" ht="28.5" customHeight="1">
      <c r="A105" s="127" t="s">
        <v>179</v>
      </c>
      <c r="B105" s="128"/>
      <c r="C105" s="127"/>
      <c r="D105" s="127"/>
      <c r="E105" s="129"/>
      <c r="F105" s="129"/>
      <c r="G105" s="129"/>
      <c r="H105" s="109"/>
      <c r="I105" s="109"/>
      <c r="J105" s="109"/>
      <c r="K105" s="109"/>
      <c r="L105" s="109"/>
      <c r="M105" s="110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11"/>
      <c r="Y105" s="112"/>
      <c r="Z105" s="112"/>
      <c r="AA105" s="112"/>
      <c r="AB105" s="112"/>
      <c r="AC105" s="111"/>
      <c r="AD105" s="112"/>
      <c r="AE105" s="112"/>
      <c r="AF105" s="113"/>
      <c r="AG105" s="19"/>
      <c r="AH105" s="114"/>
      <c r="AI105" s="115"/>
      <c r="AJ105" s="116"/>
      <c r="AK105" s="115"/>
      <c r="AL105" s="112"/>
      <c r="AM105" s="112"/>
      <c r="AN105" s="117"/>
      <c r="AO105" s="117"/>
      <c r="AP105" s="118"/>
      <c r="AQ105" s="112"/>
      <c r="AR105" s="119"/>
      <c r="AS105" s="119"/>
      <c r="AT105" s="120"/>
      <c r="AU105" s="120"/>
      <c r="AV105" s="119"/>
      <c r="AW105" s="114"/>
      <c r="AX105" s="15"/>
      <c r="AY105" s="19"/>
      <c r="AZ105" s="111"/>
      <c r="BA105" s="19"/>
      <c r="BB105" s="111"/>
      <c r="BC105" s="112"/>
      <c r="BD105" s="112"/>
      <c r="BE105" s="121"/>
      <c r="BF105" s="121"/>
    </row>
    <row r="106" spans="1:58">
      <c r="A106" s="17"/>
      <c r="B106" s="18"/>
      <c r="C106" s="72"/>
      <c r="D106" s="72"/>
      <c r="E106" s="19"/>
      <c r="F106" s="18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3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4"/>
      <c r="AX106" s="18"/>
      <c r="AY106" s="72"/>
      <c r="AZ106" s="72"/>
      <c r="BA106" s="72"/>
      <c r="BB106" s="72"/>
      <c r="BC106" s="74"/>
      <c r="BD106" s="72"/>
      <c r="BE106" s="72"/>
      <c r="BF106" s="72"/>
    </row>
    <row r="107" spans="1:58" s="2" customFormat="1">
      <c r="A107" s="75"/>
      <c r="B107" s="76"/>
      <c r="C107" s="75"/>
      <c r="D107" s="75"/>
      <c r="E107" s="77"/>
      <c r="F107" s="78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8"/>
      <c r="AY107" s="75"/>
      <c r="AZ107" s="75"/>
      <c r="BA107" s="75"/>
      <c r="BB107" s="75"/>
      <c r="BC107" s="79"/>
      <c r="BD107" s="75"/>
      <c r="BE107" s="75"/>
    </row>
    <row r="108" spans="1:58">
      <c r="A108" s="72"/>
      <c r="C108" s="72"/>
      <c r="D108" s="72"/>
      <c r="E108" s="19"/>
      <c r="F108" s="18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18"/>
      <c r="AY108" s="72"/>
      <c r="AZ108" s="72"/>
      <c r="BA108" s="72"/>
      <c r="BB108" s="72"/>
      <c r="BC108" s="74"/>
      <c r="BD108" s="72"/>
      <c r="BE108" s="72"/>
    </row>
    <row r="109" spans="1:58">
      <c r="A109" s="1"/>
    </row>
    <row r="110" spans="1:58">
      <c r="A110" s="1"/>
    </row>
  </sheetData>
  <mergeCells count="46">
    <mergeCell ref="AP10:AP12"/>
    <mergeCell ref="AQ10:AQ12"/>
    <mergeCell ref="AR10:AR12"/>
    <mergeCell ref="R10:S11"/>
    <mergeCell ref="Z10:Z12"/>
    <mergeCell ref="AA10:AA12"/>
    <mergeCell ref="T10:U11"/>
    <mergeCell ref="V10:W11"/>
    <mergeCell ref="A10:A12"/>
    <mergeCell ref="B10:B12"/>
    <mergeCell ref="C10:C12"/>
    <mergeCell ref="F10:F12"/>
    <mergeCell ref="G10:Q10"/>
    <mergeCell ref="P11:Q11"/>
    <mergeCell ref="BF10:BF12"/>
    <mergeCell ref="I11:J11"/>
    <mergeCell ref="K11:L11"/>
    <mergeCell ref="M11:M12"/>
    <mergeCell ref="N11:O11"/>
    <mergeCell ref="AS10:AS12"/>
    <mergeCell ref="BA10:BA12"/>
    <mergeCell ref="BC10:BC12"/>
    <mergeCell ref="AU10:AU12"/>
    <mergeCell ref="AV10:AV12"/>
    <mergeCell ref="AW10:AW12"/>
    <mergeCell ref="AX10:AX12"/>
    <mergeCell ref="BB10:BB12"/>
    <mergeCell ref="AY10:AY12"/>
    <mergeCell ref="AZ10:AZ12"/>
    <mergeCell ref="AC10:AC12"/>
    <mergeCell ref="AB10:AB12"/>
    <mergeCell ref="D10:D12"/>
    <mergeCell ref="E10:E12"/>
    <mergeCell ref="BD10:BD12"/>
    <mergeCell ref="BE10:BE12"/>
    <mergeCell ref="AE10:AE12"/>
    <mergeCell ref="AF10:AF12"/>
    <mergeCell ref="AG10:AG12"/>
    <mergeCell ref="AH10:AL11"/>
    <mergeCell ref="AD10:AD12"/>
    <mergeCell ref="AN10:AN12"/>
    <mergeCell ref="X10:X12"/>
    <mergeCell ref="AM10:AM12"/>
    <mergeCell ref="Y10:Y12"/>
    <mergeCell ref="AT10:AT12"/>
    <mergeCell ref="AO10:AO12"/>
  </mergeCells>
  <phoneticPr fontId="3" type="noConversion"/>
  <pageMargins left="0.78740157480314965" right="0.39370078740157483" top="0.78740157480314965" bottom="0.78740157480314965" header="0" footer="0"/>
  <pageSetup paperSize="8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="75" zoomScaleNormal="75" workbookViewId="0">
      <selection activeCell="G19" sqref="G19:G95"/>
    </sheetView>
  </sheetViews>
  <sheetFormatPr defaultRowHeight="15.75"/>
  <cols>
    <col min="1" max="1" width="5.140625" style="1" customWidth="1"/>
    <col min="2" max="2" width="26.28515625" style="6" customWidth="1"/>
    <col min="3" max="3" width="11.140625" style="1" customWidth="1"/>
    <col min="4" max="4" width="9.85546875" style="1" customWidth="1"/>
    <col min="5" max="5" width="18.140625" style="122" hidden="1" customWidth="1"/>
    <col min="6" max="6" width="12.140625" style="122" customWidth="1"/>
    <col min="7" max="7" width="12" style="8" customWidth="1"/>
    <col min="8" max="16384" width="9.140625" style="1"/>
  </cols>
  <sheetData>
    <row r="1" spans="1:7">
      <c r="F1" s="123"/>
    </row>
    <row r="2" spans="1:7">
      <c r="F2" s="124"/>
    </row>
    <row r="6" spans="1:7">
      <c r="E6" s="122" t="s">
        <v>92</v>
      </c>
    </row>
    <row r="7" spans="1:7">
      <c r="E7" s="122" t="s">
        <v>211</v>
      </c>
    </row>
    <row r="8" spans="1:7">
      <c r="E8" s="122" t="s">
        <v>212</v>
      </c>
    </row>
    <row r="11" spans="1:7" ht="15.75" customHeight="1">
      <c r="B11" s="225" t="s">
        <v>217</v>
      </c>
      <c r="C11" s="225"/>
      <c r="D11" s="225"/>
      <c r="E11" s="1"/>
    </row>
    <row r="12" spans="1:7">
      <c r="B12" s="227" t="s">
        <v>80</v>
      </c>
      <c r="C12" s="227"/>
      <c r="D12" s="227"/>
      <c r="E12" s="227"/>
      <c r="F12" s="227"/>
    </row>
    <row r="13" spans="1:7" ht="15.75" customHeight="1">
      <c r="B13" s="226" t="s">
        <v>218</v>
      </c>
      <c r="C13" s="226"/>
      <c r="D13" s="226"/>
      <c r="E13" s="226"/>
      <c r="F13" s="226"/>
    </row>
    <row r="14" spans="1:7" ht="22.5" customHeight="1">
      <c r="A14" s="177"/>
      <c r="B14" s="226"/>
      <c r="C14" s="226"/>
      <c r="D14" s="226"/>
      <c r="E14" s="226"/>
      <c r="F14" s="226"/>
      <c r="G14" s="178"/>
    </row>
    <row r="15" spans="1:7">
      <c r="A15" s="177"/>
      <c r="E15" s="1"/>
      <c r="F15" s="178"/>
      <c r="G15" s="15"/>
    </row>
    <row r="16" spans="1:7" ht="16.5" thickBot="1"/>
    <row r="17" spans="1:7" ht="122.25" customHeight="1" thickBot="1">
      <c r="A17" s="80" t="s">
        <v>78</v>
      </c>
      <c r="B17" s="81" t="s">
        <v>160</v>
      </c>
      <c r="C17" s="82" t="s">
        <v>93</v>
      </c>
      <c r="D17" s="82" t="s">
        <v>79</v>
      </c>
      <c r="E17" s="125" t="s">
        <v>84</v>
      </c>
      <c r="F17" s="179" t="s">
        <v>82</v>
      </c>
      <c r="G17" s="185" t="s">
        <v>216</v>
      </c>
    </row>
    <row r="18" spans="1:7" s="16" customFormat="1" ht="20.25" customHeight="1" thickBot="1">
      <c r="A18" s="13">
        <v>1</v>
      </c>
      <c r="B18" s="27">
        <v>2</v>
      </c>
      <c r="C18" s="23">
        <v>3</v>
      </c>
      <c r="D18" s="14">
        <v>4</v>
      </c>
      <c r="E18" s="126">
        <v>5</v>
      </c>
      <c r="F18" s="180">
        <v>5</v>
      </c>
      <c r="G18" s="68">
        <v>6</v>
      </c>
    </row>
    <row r="19" spans="1:7" ht="47.25">
      <c r="A19" s="61" t="s">
        <v>14</v>
      </c>
      <c r="B19" s="26" t="s">
        <v>94</v>
      </c>
      <c r="C19" s="155">
        <v>21</v>
      </c>
      <c r="D19" s="24" t="s">
        <v>81</v>
      </c>
      <c r="E19" s="161">
        <f>нормы!BC14</f>
        <v>428.86787200743146</v>
      </c>
      <c r="F19" s="181">
        <f>нормы!BE14</f>
        <v>481.12714794819766</v>
      </c>
      <c r="G19" s="228">
        <f>F19*1.18</f>
        <v>567.73003457887319</v>
      </c>
    </row>
    <row r="20" spans="1:7" ht="47.25">
      <c r="A20" s="28" t="s">
        <v>28</v>
      </c>
      <c r="B20" s="20" t="s">
        <v>95</v>
      </c>
      <c r="C20" s="156">
        <v>31</v>
      </c>
      <c r="D20" s="12" t="s">
        <v>81</v>
      </c>
      <c r="E20" s="162">
        <f>нормы!BC15</f>
        <v>419.14367500743151</v>
      </c>
      <c r="F20" s="182">
        <f>нормы!BE15</f>
        <v>471.40295094819771</v>
      </c>
      <c r="G20" s="228">
        <f t="shared" ref="G20:G83" si="0">F20*1.18</f>
        <v>556.25548211887326</v>
      </c>
    </row>
    <row r="21" spans="1:7" ht="47.25">
      <c r="A21" s="28" t="s">
        <v>29</v>
      </c>
      <c r="B21" s="20" t="s">
        <v>96</v>
      </c>
      <c r="C21" s="157">
        <v>41</v>
      </c>
      <c r="D21" s="12" t="s">
        <v>81</v>
      </c>
      <c r="E21" s="162">
        <f>нормы!BC16</f>
        <v>451.55766500743147</v>
      </c>
      <c r="F21" s="182">
        <f>нормы!BE16</f>
        <v>503.81694094819767</v>
      </c>
      <c r="G21" s="228">
        <f t="shared" si="0"/>
        <v>594.50399031887321</v>
      </c>
    </row>
    <row r="22" spans="1:7" ht="47.25">
      <c r="A22" s="28" t="s">
        <v>30</v>
      </c>
      <c r="B22" s="20" t="s">
        <v>97</v>
      </c>
      <c r="C22" s="157">
        <v>51</v>
      </c>
      <c r="D22" s="12" t="s">
        <v>81</v>
      </c>
      <c r="E22" s="162">
        <f>нормы!BC17</f>
        <v>464.52326100743153</v>
      </c>
      <c r="F22" s="182">
        <f>нормы!BE17</f>
        <v>516.78253694819773</v>
      </c>
      <c r="G22" s="228">
        <f t="shared" si="0"/>
        <v>609.8033935988733</v>
      </c>
    </row>
    <row r="23" spans="1:7" ht="47.25">
      <c r="A23" s="28" t="s">
        <v>31</v>
      </c>
      <c r="B23" s="20" t="s">
        <v>98</v>
      </c>
      <c r="C23" s="157">
        <v>181</v>
      </c>
      <c r="D23" s="12" t="s">
        <v>81</v>
      </c>
      <c r="E23" s="162">
        <f>нормы!BC18</f>
        <v>468.84963600743151</v>
      </c>
      <c r="F23" s="182">
        <f>нормы!BE18</f>
        <v>521.10891194819771</v>
      </c>
      <c r="G23" s="228">
        <f t="shared" si="0"/>
        <v>614.90851609887329</v>
      </c>
    </row>
    <row r="24" spans="1:7" ht="47.25">
      <c r="A24" s="28" t="s">
        <v>32</v>
      </c>
      <c r="B24" s="20" t="s">
        <v>99</v>
      </c>
      <c r="C24" s="157">
        <v>191</v>
      </c>
      <c r="D24" s="12" t="s">
        <v>81</v>
      </c>
      <c r="E24" s="162">
        <f>нормы!BC19</f>
        <v>434.99352100743147</v>
      </c>
      <c r="F24" s="182">
        <f>нормы!BE19</f>
        <v>487.25279694819767</v>
      </c>
      <c r="G24" s="228">
        <f t="shared" si="0"/>
        <v>574.95830039887323</v>
      </c>
    </row>
    <row r="25" spans="1:7" ht="47.25">
      <c r="A25" s="28" t="s">
        <v>33</v>
      </c>
      <c r="B25" s="20" t="s">
        <v>100</v>
      </c>
      <c r="C25" s="157">
        <v>201</v>
      </c>
      <c r="D25" s="12" t="s">
        <v>81</v>
      </c>
      <c r="E25" s="162">
        <f>нормы!BC20</f>
        <v>481.0308590074315</v>
      </c>
      <c r="F25" s="182">
        <f>нормы!BE20</f>
        <v>533.29013494819776</v>
      </c>
      <c r="G25" s="228">
        <f t="shared" si="0"/>
        <v>629.28235923887337</v>
      </c>
    </row>
    <row r="26" spans="1:7" ht="47.25">
      <c r="A26" s="28" t="s">
        <v>34</v>
      </c>
      <c r="B26" s="20" t="s">
        <v>101</v>
      </c>
      <c r="C26" s="139">
        <v>161</v>
      </c>
      <c r="D26" s="12" t="s">
        <v>81</v>
      </c>
      <c r="E26" s="162">
        <f>нормы!BC21</f>
        <v>695.87762700743167</v>
      </c>
      <c r="F26" s="182">
        <f>нормы!BE21</f>
        <v>748.13690294819787</v>
      </c>
      <c r="G26" s="228">
        <f t="shared" si="0"/>
        <v>882.80154547887344</v>
      </c>
    </row>
    <row r="27" spans="1:7" s="6" customFormat="1" ht="47.25">
      <c r="A27" s="28" t="s">
        <v>35</v>
      </c>
      <c r="B27" s="20" t="s">
        <v>102</v>
      </c>
      <c r="C27" s="139">
        <v>61</v>
      </c>
      <c r="D27" s="35" t="s">
        <v>81</v>
      </c>
      <c r="E27" s="162">
        <f>нормы!BC22</f>
        <v>822.74511913243157</v>
      </c>
      <c r="F27" s="182">
        <f>нормы!BE22</f>
        <v>875.00439507319777</v>
      </c>
      <c r="G27" s="228">
        <f t="shared" si="0"/>
        <v>1032.5051861863733</v>
      </c>
    </row>
    <row r="28" spans="1:7" ht="47.25">
      <c r="A28" s="28" t="s">
        <v>36</v>
      </c>
      <c r="B28" s="20" t="s">
        <v>103</v>
      </c>
      <c r="C28" s="157">
        <v>71</v>
      </c>
      <c r="D28" s="12" t="s">
        <v>81</v>
      </c>
      <c r="E28" s="162">
        <f>нормы!BC23</f>
        <v>530.77952511893147</v>
      </c>
      <c r="F28" s="182">
        <f>нормы!BE23</f>
        <v>569.83396455800175</v>
      </c>
      <c r="G28" s="228">
        <f t="shared" si="0"/>
        <v>672.40407817844198</v>
      </c>
    </row>
    <row r="29" spans="1:7" ht="63">
      <c r="A29" s="28" t="s">
        <v>37</v>
      </c>
      <c r="B29" s="20" t="s">
        <v>104</v>
      </c>
      <c r="C29" s="157">
        <v>91</v>
      </c>
      <c r="D29" s="12" t="s">
        <v>81</v>
      </c>
      <c r="E29" s="162">
        <f>нормы!BC24</f>
        <v>516.93353319493144</v>
      </c>
      <c r="F29" s="182">
        <f>нормы!BE24</f>
        <v>569.19280913569764</v>
      </c>
      <c r="G29" s="228">
        <f t="shared" si="0"/>
        <v>671.64751478012317</v>
      </c>
    </row>
    <row r="30" spans="1:7" ht="63">
      <c r="A30" s="28" t="s">
        <v>38</v>
      </c>
      <c r="B30" s="20" t="s">
        <v>105</v>
      </c>
      <c r="C30" s="157">
        <v>92</v>
      </c>
      <c r="D30" s="12" t="s">
        <v>81</v>
      </c>
      <c r="E30" s="162">
        <f>нормы!BC25</f>
        <v>516.93353319493144</v>
      </c>
      <c r="F30" s="182">
        <f>нормы!BE25</f>
        <v>569.19280913569764</v>
      </c>
      <c r="G30" s="228">
        <f t="shared" si="0"/>
        <v>671.64751478012317</v>
      </c>
    </row>
    <row r="31" spans="1:7" ht="47.25">
      <c r="A31" s="28" t="s">
        <v>39</v>
      </c>
      <c r="B31" s="20" t="s">
        <v>106</v>
      </c>
      <c r="C31" s="157">
        <v>141</v>
      </c>
      <c r="D31" s="12" t="s">
        <v>81</v>
      </c>
      <c r="E31" s="162">
        <f>нормы!BC26</f>
        <v>590.14575795693145</v>
      </c>
      <c r="F31" s="182">
        <f>нормы!BE26</f>
        <v>645.34150043164959</v>
      </c>
      <c r="G31" s="228">
        <f t="shared" si="0"/>
        <v>761.50297050934648</v>
      </c>
    </row>
    <row r="32" spans="1:7" ht="47.25">
      <c r="A32" s="28" t="s">
        <v>40</v>
      </c>
      <c r="B32" s="20" t="s">
        <v>107</v>
      </c>
      <c r="C32" s="157">
        <v>142</v>
      </c>
      <c r="D32" s="12" t="s">
        <v>81</v>
      </c>
      <c r="E32" s="162">
        <f>нормы!BC27</f>
        <v>593.3357579569315</v>
      </c>
      <c r="F32" s="182">
        <f>нормы!BE27</f>
        <v>648.53150043164965</v>
      </c>
      <c r="G32" s="228">
        <f t="shared" si="0"/>
        <v>765.26717050934656</v>
      </c>
    </row>
    <row r="33" spans="1:7" ht="47.25">
      <c r="A33" s="28" t="s">
        <v>41</v>
      </c>
      <c r="B33" s="20" t="s">
        <v>108</v>
      </c>
      <c r="C33" s="157">
        <v>143</v>
      </c>
      <c r="D33" s="12" t="s">
        <v>81</v>
      </c>
      <c r="E33" s="162">
        <f>нормы!BC28</f>
        <v>588.37575795693147</v>
      </c>
      <c r="F33" s="182">
        <f>нормы!BE28</f>
        <v>643.57150043164961</v>
      </c>
      <c r="G33" s="228">
        <f t="shared" si="0"/>
        <v>759.41437050934655</v>
      </c>
    </row>
    <row r="34" spans="1:7" ht="47.25">
      <c r="A34" s="28" t="s">
        <v>42</v>
      </c>
      <c r="B34" s="20" t="s">
        <v>109</v>
      </c>
      <c r="C34" s="157">
        <v>144</v>
      </c>
      <c r="D34" s="12" t="s">
        <v>81</v>
      </c>
      <c r="E34" s="162">
        <f>нормы!BC29</f>
        <v>577.13575795693146</v>
      </c>
      <c r="F34" s="182">
        <f>нормы!BE29</f>
        <v>632.3315004316496</v>
      </c>
      <c r="G34" s="228">
        <f t="shared" si="0"/>
        <v>746.15117050934646</v>
      </c>
    </row>
    <row r="35" spans="1:7" ht="47.25">
      <c r="A35" s="28" t="s">
        <v>43</v>
      </c>
      <c r="B35" s="20" t="s">
        <v>110</v>
      </c>
      <c r="C35" s="157">
        <v>145</v>
      </c>
      <c r="D35" s="12" t="s">
        <v>81</v>
      </c>
      <c r="E35" s="162">
        <f>нормы!BC30</f>
        <v>577.13575795693146</v>
      </c>
      <c r="F35" s="182">
        <f>нормы!BE30</f>
        <v>632.3315004316496</v>
      </c>
      <c r="G35" s="228">
        <f t="shared" si="0"/>
        <v>746.15117050934646</v>
      </c>
    </row>
    <row r="36" spans="1:7" ht="47.25">
      <c r="A36" s="28" t="s">
        <v>44</v>
      </c>
      <c r="B36" s="20" t="s">
        <v>111</v>
      </c>
      <c r="C36" s="139">
        <v>151</v>
      </c>
      <c r="D36" s="12" t="s">
        <v>81</v>
      </c>
      <c r="E36" s="162">
        <f>нормы!BC31</f>
        <v>2521.1235454314319</v>
      </c>
      <c r="F36" s="182">
        <f>нормы!BE31</f>
        <v>2560.1779848705019</v>
      </c>
      <c r="G36" s="228">
        <f t="shared" si="0"/>
        <v>3021.0100221471921</v>
      </c>
    </row>
    <row r="37" spans="1:7" ht="47.25">
      <c r="A37" s="28" t="s">
        <v>45</v>
      </c>
      <c r="B37" s="20" t="s">
        <v>112</v>
      </c>
      <c r="C37" s="157">
        <v>11</v>
      </c>
      <c r="D37" s="12" t="s">
        <v>81</v>
      </c>
      <c r="E37" s="162">
        <f>нормы!BC32</f>
        <v>979.73625168143144</v>
      </c>
      <c r="F37" s="182">
        <f>нормы!BE32</f>
        <v>1018.7906911205017</v>
      </c>
      <c r="G37" s="228">
        <f t="shared" si="0"/>
        <v>1202.1730155221919</v>
      </c>
    </row>
    <row r="38" spans="1:7" ht="47.25">
      <c r="A38" s="28" t="s">
        <v>46</v>
      </c>
      <c r="B38" s="20" t="s">
        <v>113</v>
      </c>
      <c r="C38" s="157">
        <v>111</v>
      </c>
      <c r="D38" s="12" t="s">
        <v>81</v>
      </c>
      <c r="E38" s="162">
        <f>нормы!BC33</f>
        <v>654.88138449393159</v>
      </c>
      <c r="F38" s="182">
        <f>нормы!BE33</f>
        <v>693.93582393300187</v>
      </c>
      <c r="G38" s="228">
        <f t="shared" si="0"/>
        <v>818.84427224094213</v>
      </c>
    </row>
    <row r="39" spans="1:7" ht="47.25">
      <c r="A39" s="28" t="s">
        <v>47</v>
      </c>
      <c r="B39" s="20" t="s">
        <v>114</v>
      </c>
      <c r="C39" s="157">
        <v>112</v>
      </c>
      <c r="D39" s="12" t="s">
        <v>81</v>
      </c>
      <c r="E39" s="162">
        <f>нормы!BC34</f>
        <v>654.88138449393159</v>
      </c>
      <c r="F39" s="182">
        <f>нормы!BE34</f>
        <v>693.93582393300187</v>
      </c>
      <c r="G39" s="228">
        <f t="shared" si="0"/>
        <v>818.84427224094213</v>
      </c>
    </row>
    <row r="40" spans="1:7" ht="47.25">
      <c r="A40" s="28" t="s">
        <v>48</v>
      </c>
      <c r="B40" s="20" t="s">
        <v>122</v>
      </c>
      <c r="C40" s="157"/>
      <c r="D40" s="12" t="s">
        <v>81</v>
      </c>
      <c r="E40" s="162">
        <f>нормы!BC35</f>
        <v>364.75697048507124</v>
      </c>
      <c r="F40" s="182">
        <f>нормы!BE35</f>
        <v>419.95271295978944</v>
      </c>
      <c r="G40" s="228">
        <f t="shared" si="0"/>
        <v>495.54420129255152</v>
      </c>
    </row>
    <row r="41" spans="1:7" ht="47.25">
      <c r="A41" s="28" t="s">
        <v>49</v>
      </c>
      <c r="B41" s="20" t="s">
        <v>123</v>
      </c>
      <c r="C41" s="157"/>
      <c r="D41" s="12" t="s">
        <v>81</v>
      </c>
      <c r="E41" s="162">
        <f>нормы!BC36</f>
        <v>369.98597048507122</v>
      </c>
      <c r="F41" s="182">
        <f>нормы!BE36</f>
        <v>425.18171295978948</v>
      </c>
      <c r="G41" s="228">
        <f t="shared" si="0"/>
        <v>501.71442129255155</v>
      </c>
    </row>
    <row r="42" spans="1:7" ht="47.25">
      <c r="A42" s="28" t="s">
        <v>50</v>
      </c>
      <c r="B42" s="20" t="s">
        <v>124</v>
      </c>
      <c r="C42" s="157"/>
      <c r="D42" s="12" t="s">
        <v>81</v>
      </c>
      <c r="E42" s="162">
        <f>нормы!BC37</f>
        <v>386.66897048507121</v>
      </c>
      <c r="F42" s="182">
        <f>нормы!BE37</f>
        <v>441.86471295978947</v>
      </c>
      <c r="G42" s="228">
        <f t="shared" si="0"/>
        <v>521.40036129255157</v>
      </c>
    </row>
    <row r="43" spans="1:7" ht="47.25">
      <c r="A43" s="28" t="s">
        <v>51</v>
      </c>
      <c r="B43" s="20" t="s">
        <v>125</v>
      </c>
      <c r="C43" s="157"/>
      <c r="D43" s="12" t="s">
        <v>81</v>
      </c>
      <c r="E43" s="162">
        <f>нормы!BC38</f>
        <v>445.40692624976242</v>
      </c>
      <c r="F43" s="182">
        <f>нормы!BE38</f>
        <v>497.66620219052862</v>
      </c>
      <c r="G43" s="228">
        <f t="shared" si="0"/>
        <v>587.24611858482376</v>
      </c>
    </row>
    <row r="44" spans="1:7" ht="47.25">
      <c r="A44" s="28" t="s">
        <v>52</v>
      </c>
      <c r="B44" s="20" t="s">
        <v>126</v>
      </c>
      <c r="C44" s="157"/>
      <c r="D44" s="12" t="s">
        <v>81</v>
      </c>
      <c r="E44" s="162">
        <f>нормы!BC39</f>
        <v>355.23051176891124</v>
      </c>
      <c r="F44" s="182">
        <f>нормы!BE39</f>
        <v>407.48978770967744</v>
      </c>
      <c r="G44" s="228">
        <f t="shared" si="0"/>
        <v>480.83794949741934</v>
      </c>
    </row>
    <row r="45" spans="1:7" ht="31.5">
      <c r="A45" s="130" t="s">
        <v>53</v>
      </c>
      <c r="B45" s="20" t="s">
        <v>127</v>
      </c>
      <c r="C45" s="157"/>
      <c r="D45" s="12"/>
      <c r="E45" s="162"/>
      <c r="F45" s="183"/>
      <c r="G45" s="228">
        <f t="shared" si="0"/>
        <v>0</v>
      </c>
    </row>
    <row r="46" spans="1:7" ht="47.25">
      <c r="A46" s="28"/>
      <c r="B46" s="20" t="s">
        <v>149</v>
      </c>
      <c r="C46" s="157"/>
      <c r="D46" s="12" t="s">
        <v>81</v>
      </c>
      <c r="E46" s="162">
        <f>нормы!BC41</f>
        <v>342.78051176891125</v>
      </c>
      <c r="F46" s="182">
        <f>нормы!BE41</f>
        <v>395.03978770967746</v>
      </c>
      <c r="G46" s="228">
        <f t="shared" si="0"/>
        <v>466.14694949741937</v>
      </c>
    </row>
    <row r="47" spans="1:7" ht="47.25">
      <c r="A47" s="28"/>
      <c r="B47" s="20" t="s">
        <v>155</v>
      </c>
      <c r="C47" s="157"/>
      <c r="D47" s="12" t="s">
        <v>81</v>
      </c>
      <c r="E47" s="162">
        <f>нормы!BC42</f>
        <v>1793.8971762497624</v>
      </c>
      <c r="F47" s="182">
        <f>нормы!BE42</f>
        <v>1846.1564521905286</v>
      </c>
      <c r="G47" s="228">
        <f t="shared" si="0"/>
        <v>2178.4646135848238</v>
      </c>
    </row>
    <row r="48" spans="1:7" ht="31.5">
      <c r="A48" s="28" t="s">
        <v>54</v>
      </c>
      <c r="B48" s="20" t="s">
        <v>128</v>
      </c>
      <c r="C48" s="157"/>
      <c r="D48" s="12"/>
      <c r="E48" s="162"/>
      <c r="F48" s="183"/>
      <c r="G48" s="228">
        <f t="shared" si="0"/>
        <v>0</v>
      </c>
    </row>
    <row r="49" spans="1:7" ht="47.25">
      <c r="A49" s="28"/>
      <c r="B49" s="20" t="s">
        <v>149</v>
      </c>
      <c r="C49" s="157"/>
      <c r="D49" s="12" t="s">
        <v>81</v>
      </c>
      <c r="E49" s="162">
        <f>нормы!BC44</f>
        <v>342.78051176891125</v>
      </c>
      <c r="F49" s="183">
        <f>нормы!BE44</f>
        <v>395.03978770967746</v>
      </c>
      <c r="G49" s="228">
        <f t="shared" si="0"/>
        <v>466.14694949741937</v>
      </c>
    </row>
    <row r="50" spans="1:7" ht="47.25">
      <c r="A50" s="28"/>
      <c r="B50" s="20" t="s">
        <v>155</v>
      </c>
      <c r="C50" s="157"/>
      <c r="D50" s="12" t="s">
        <v>81</v>
      </c>
      <c r="E50" s="162">
        <f>нормы!BC45</f>
        <v>1793.8971762497624</v>
      </c>
      <c r="F50" s="183">
        <f>нормы!BE45</f>
        <v>1846.1564521905286</v>
      </c>
      <c r="G50" s="228">
        <f t="shared" si="0"/>
        <v>2178.4646135848238</v>
      </c>
    </row>
    <row r="51" spans="1:7" ht="31.5">
      <c r="A51" s="28" t="s">
        <v>55</v>
      </c>
      <c r="B51" s="20" t="s">
        <v>129</v>
      </c>
      <c r="C51" s="157"/>
      <c r="D51" s="12"/>
      <c r="E51" s="162"/>
      <c r="F51" s="183"/>
      <c r="G51" s="228">
        <f t="shared" si="0"/>
        <v>0</v>
      </c>
    </row>
    <row r="52" spans="1:7" ht="47.25">
      <c r="A52" s="28"/>
      <c r="B52" s="20" t="s">
        <v>149</v>
      </c>
      <c r="C52" s="157"/>
      <c r="D52" s="12" t="s">
        <v>81</v>
      </c>
      <c r="E52" s="162">
        <f>нормы!BC47</f>
        <v>391.96051176891126</v>
      </c>
      <c r="F52" s="183">
        <f>нормы!BE47</f>
        <v>444.21978770967746</v>
      </c>
      <c r="G52" s="228">
        <f t="shared" si="0"/>
        <v>524.17934949741937</v>
      </c>
    </row>
    <row r="53" spans="1:7" ht="47.25">
      <c r="A53" s="28"/>
      <c r="B53" s="20" t="s">
        <v>155</v>
      </c>
      <c r="C53" s="157"/>
      <c r="D53" s="12" t="s">
        <v>81</v>
      </c>
      <c r="E53" s="162">
        <f>нормы!BC48</f>
        <v>1793.8971762497624</v>
      </c>
      <c r="F53" s="183">
        <f>нормы!BE48</f>
        <v>1846.1564521905286</v>
      </c>
      <c r="G53" s="228">
        <f t="shared" si="0"/>
        <v>2178.4646135848238</v>
      </c>
    </row>
    <row r="54" spans="1:7" ht="31.5">
      <c r="A54" s="28" t="s">
        <v>56</v>
      </c>
      <c r="B54" s="20" t="s">
        <v>130</v>
      </c>
      <c r="C54" s="157"/>
      <c r="D54" s="12"/>
      <c r="E54" s="162"/>
      <c r="F54" s="183"/>
      <c r="G54" s="228">
        <f t="shared" si="0"/>
        <v>0</v>
      </c>
    </row>
    <row r="55" spans="1:7" ht="47.25">
      <c r="A55" s="28"/>
      <c r="B55" s="20" t="s">
        <v>149</v>
      </c>
      <c r="C55" s="157"/>
      <c r="D55" s="12" t="s">
        <v>81</v>
      </c>
      <c r="E55" s="162">
        <f>нормы!BC50</f>
        <v>342.78051176891125</v>
      </c>
      <c r="F55" s="183">
        <f>нормы!BE50</f>
        <v>395.03978770967746</v>
      </c>
      <c r="G55" s="228">
        <f t="shared" si="0"/>
        <v>466.14694949741937</v>
      </c>
    </row>
    <row r="56" spans="1:7" ht="47.25">
      <c r="A56" s="28"/>
      <c r="B56" s="20" t="s">
        <v>155</v>
      </c>
      <c r="C56" s="157"/>
      <c r="D56" s="12" t="s">
        <v>81</v>
      </c>
      <c r="E56" s="162">
        <f>нормы!BC51</f>
        <v>1793.8971762497624</v>
      </c>
      <c r="F56" s="183">
        <f>нормы!BE51</f>
        <v>1846.1564521905286</v>
      </c>
      <c r="G56" s="228">
        <f t="shared" si="0"/>
        <v>2178.4646135848238</v>
      </c>
    </row>
    <row r="57" spans="1:7" ht="47.25">
      <c r="A57" s="28" t="s">
        <v>57</v>
      </c>
      <c r="B57" s="20" t="s">
        <v>131</v>
      </c>
      <c r="C57" s="157"/>
      <c r="D57" s="12" t="s">
        <v>81</v>
      </c>
      <c r="E57" s="162">
        <f>нормы!BC52</f>
        <v>444.85119536891125</v>
      </c>
      <c r="F57" s="183">
        <f>нормы!BE52</f>
        <v>497.11047130967745</v>
      </c>
      <c r="G57" s="228">
        <f t="shared" si="0"/>
        <v>586.59035614541938</v>
      </c>
    </row>
    <row r="58" spans="1:7" ht="47.25">
      <c r="A58" s="28" t="s">
        <v>58</v>
      </c>
      <c r="B58" s="20" t="s">
        <v>132</v>
      </c>
      <c r="C58" s="157"/>
      <c r="D58" s="12" t="s">
        <v>81</v>
      </c>
      <c r="E58" s="162">
        <f>нормы!BC53</f>
        <v>501.86384506891125</v>
      </c>
      <c r="F58" s="183">
        <f>нормы!BE53</f>
        <v>554.12312100967745</v>
      </c>
      <c r="G58" s="228">
        <f t="shared" si="0"/>
        <v>653.8652827914193</v>
      </c>
    </row>
    <row r="59" spans="1:7" ht="47.25">
      <c r="A59" s="28" t="s">
        <v>59</v>
      </c>
      <c r="B59" s="20" t="s">
        <v>147</v>
      </c>
      <c r="C59" s="157"/>
      <c r="D59" s="12"/>
      <c r="E59" s="162"/>
      <c r="F59" s="183"/>
      <c r="G59" s="228">
        <f t="shared" si="0"/>
        <v>0</v>
      </c>
    </row>
    <row r="60" spans="1:7" ht="47.25">
      <c r="A60" s="28"/>
      <c r="B60" s="20" t="s">
        <v>149</v>
      </c>
      <c r="C60" s="157"/>
      <c r="D60" s="12" t="s">
        <v>81</v>
      </c>
      <c r="E60" s="162">
        <f>нормы!BC55</f>
        <v>326.49914784955121</v>
      </c>
      <c r="F60" s="183">
        <f>нормы!BE55</f>
        <v>373.43136744132539</v>
      </c>
      <c r="G60" s="228">
        <f t="shared" si="0"/>
        <v>440.64901358076395</v>
      </c>
    </row>
    <row r="61" spans="1:7" ht="47.25">
      <c r="A61" s="28"/>
      <c r="B61" s="20" t="s">
        <v>214</v>
      </c>
      <c r="C61" s="157"/>
      <c r="D61" s="12" t="s">
        <v>81</v>
      </c>
      <c r="E61" s="162">
        <f>нормы!BC56</f>
        <v>1138.2095350787054</v>
      </c>
      <c r="F61" s="183">
        <f>нормы!BE56</f>
        <v>1185.1417546704795</v>
      </c>
      <c r="G61" s="228">
        <f t="shared" si="0"/>
        <v>1398.4672705111657</v>
      </c>
    </row>
    <row r="62" spans="1:7" ht="47.25">
      <c r="A62" s="28" t="s">
        <v>60</v>
      </c>
      <c r="B62" s="20" t="s">
        <v>133</v>
      </c>
      <c r="C62" s="157"/>
      <c r="D62" s="12" t="s">
        <v>81</v>
      </c>
      <c r="E62" s="162">
        <f>нормы!BC57</f>
        <v>359.78551176891125</v>
      </c>
      <c r="F62" s="183">
        <f>нормы!BE57</f>
        <v>412.04478770967745</v>
      </c>
      <c r="G62" s="228">
        <f t="shared" si="0"/>
        <v>486.21284949741937</v>
      </c>
    </row>
    <row r="63" spans="1:7" ht="47.25">
      <c r="A63" s="28" t="s">
        <v>61</v>
      </c>
      <c r="B63" s="20" t="s">
        <v>134</v>
      </c>
      <c r="C63" s="157"/>
      <c r="D63" s="12" t="s">
        <v>81</v>
      </c>
      <c r="E63" s="162">
        <f>нормы!BC58</f>
        <v>418.06051176891123</v>
      </c>
      <c r="F63" s="183">
        <f>нормы!BE58</f>
        <v>470.31978770967743</v>
      </c>
      <c r="G63" s="228">
        <f t="shared" si="0"/>
        <v>554.97734949741937</v>
      </c>
    </row>
    <row r="64" spans="1:7" ht="47.25">
      <c r="A64" s="28" t="s">
        <v>62</v>
      </c>
      <c r="B64" s="20" t="s">
        <v>135</v>
      </c>
      <c r="C64" s="157"/>
      <c r="D64" s="12" t="s">
        <v>81</v>
      </c>
      <c r="E64" s="162">
        <f>нормы!BC59</f>
        <v>342.78051176891125</v>
      </c>
      <c r="F64" s="183">
        <f>нормы!BE59</f>
        <v>395.03978770967746</v>
      </c>
      <c r="G64" s="228">
        <f t="shared" si="0"/>
        <v>466.14694949741937</v>
      </c>
    </row>
    <row r="65" spans="1:7" ht="47.25">
      <c r="A65" s="28" t="s">
        <v>63</v>
      </c>
      <c r="B65" s="20" t="s">
        <v>136</v>
      </c>
      <c r="C65" s="157"/>
      <c r="D65" s="12" t="s">
        <v>81</v>
      </c>
      <c r="E65" s="162">
        <f>нормы!BC60</f>
        <v>353.69313784955125</v>
      </c>
      <c r="F65" s="183">
        <f>нормы!BE60</f>
        <v>400.62535744132543</v>
      </c>
      <c r="G65" s="228">
        <f t="shared" si="0"/>
        <v>472.737921780764</v>
      </c>
    </row>
    <row r="66" spans="1:7" ht="47.25">
      <c r="A66" s="28" t="s">
        <v>64</v>
      </c>
      <c r="B66" s="20" t="s">
        <v>137</v>
      </c>
      <c r="C66" s="157"/>
      <c r="D66" s="12" t="s">
        <v>81</v>
      </c>
      <c r="E66" s="162">
        <f>нормы!BC61</f>
        <v>433.54204846907123</v>
      </c>
      <c r="F66" s="183">
        <f>нормы!BE61</f>
        <v>500.97306816858941</v>
      </c>
      <c r="G66" s="228">
        <f t="shared" si="0"/>
        <v>591.14822043893548</v>
      </c>
    </row>
    <row r="67" spans="1:7" ht="63">
      <c r="A67" s="28" t="s">
        <v>65</v>
      </c>
      <c r="B67" s="20" t="s">
        <v>148</v>
      </c>
      <c r="C67" s="12"/>
      <c r="D67" s="12" t="s">
        <v>81</v>
      </c>
      <c r="E67" s="162">
        <f>нормы!BC62</f>
        <v>1249.8772092225622</v>
      </c>
      <c r="F67" s="183">
        <f>нормы!BE62</f>
        <v>1304.0329689943044</v>
      </c>
      <c r="G67" s="228">
        <f t="shared" si="0"/>
        <v>1538.7589034132791</v>
      </c>
    </row>
    <row r="68" spans="1:7" ht="78.75">
      <c r="A68" s="28" t="s">
        <v>66</v>
      </c>
      <c r="B68" s="20" t="s">
        <v>150</v>
      </c>
      <c r="C68" s="157"/>
      <c r="D68" s="12"/>
      <c r="E68" s="162"/>
      <c r="F68" s="183"/>
      <c r="G68" s="228">
        <f t="shared" si="0"/>
        <v>0</v>
      </c>
    </row>
    <row r="69" spans="1:7" ht="47.25">
      <c r="A69" s="28"/>
      <c r="B69" s="20" t="s">
        <v>149</v>
      </c>
      <c r="C69" s="157"/>
      <c r="D69" s="12" t="s">
        <v>81</v>
      </c>
      <c r="E69" s="162">
        <f>нормы!BC64</f>
        <v>491.26284896792686</v>
      </c>
      <c r="F69" s="183">
        <f>нормы!BE64</f>
        <v>538.19506855970099</v>
      </c>
      <c r="G69" s="228">
        <f t="shared" si="0"/>
        <v>635.0701809004471</v>
      </c>
    </row>
    <row r="70" spans="1:7" ht="63">
      <c r="A70" s="28"/>
      <c r="B70" s="20" t="s">
        <v>151</v>
      </c>
      <c r="C70" s="157"/>
      <c r="D70" s="12" t="s">
        <v>81</v>
      </c>
      <c r="E70" s="162">
        <f>нормы!BC66</f>
        <v>1077.332848967927</v>
      </c>
      <c r="F70" s="183">
        <f>нормы!BE66</f>
        <v>1124.2650685597011</v>
      </c>
      <c r="G70" s="228">
        <f t="shared" si="0"/>
        <v>1326.6327809004472</v>
      </c>
    </row>
    <row r="71" spans="1:7" ht="94.5">
      <c r="A71" s="28" t="s">
        <v>67</v>
      </c>
      <c r="B71" s="20" t="s">
        <v>152</v>
      </c>
      <c r="C71" s="157"/>
      <c r="D71" s="12"/>
      <c r="E71" s="162"/>
      <c r="F71" s="183"/>
      <c r="G71" s="228">
        <f t="shared" si="0"/>
        <v>0</v>
      </c>
    </row>
    <row r="72" spans="1:7" ht="47.25">
      <c r="A72" s="28"/>
      <c r="B72" s="20" t="s">
        <v>149</v>
      </c>
      <c r="C72" s="157"/>
      <c r="D72" s="12" t="s">
        <v>81</v>
      </c>
      <c r="E72" s="162">
        <f>нормы!BC69</f>
        <v>491.26284896792686</v>
      </c>
      <c r="F72" s="183">
        <f>нормы!BE69</f>
        <v>538.19506855970099</v>
      </c>
      <c r="G72" s="228">
        <f t="shared" si="0"/>
        <v>635.0701809004471</v>
      </c>
    </row>
    <row r="73" spans="1:7" ht="63">
      <c r="A73" s="28"/>
      <c r="B73" s="20" t="s">
        <v>151</v>
      </c>
      <c r="C73" s="157"/>
      <c r="D73" s="12" t="s">
        <v>81</v>
      </c>
      <c r="E73" s="162">
        <f>нормы!BC71</f>
        <v>1077.332848967927</v>
      </c>
      <c r="F73" s="182">
        <f>нормы!BE71</f>
        <v>1124.2650685597011</v>
      </c>
      <c r="G73" s="228">
        <f t="shared" si="0"/>
        <v>1326.6327809004472</v>
      </c>
    </row>
    <row r="74" spans="1:7" ht="47.25">
      <c r="A74" s="28" t="s">
        <v>68</v>
      </c>
      <c r="B74" s="20" t="s">
        <v>156</v>
      </c>
      <c r="C74" s="12"/>
      <c r="D74" s="12" t="s">
        <v>81</v>
      </c>
      <c r="E74" s="162">
        <f>нормы!BC73</f>
        <v>630.82941125451373</v>
      </c>
      <c r="F74" s="182">
        <f>нормы!BE73</f>
        <v>668.27782106243251</v>
      </c>
      <c r="G74" s="228">
        <f t="shared" si="0"/>
        <v>788.56782885367033</v>
      </c>
    </row>
    <row r="75" spans="1:7" ht="47.25">
      <c r="A75" s="28" t="s">
        <v>183</v>
      </c>
      <c r="B75" s="48" t="s">
        <v>165</v>
      </c>
      <c r="C75" s="48" t="s">
        <v>166</v>
      </c>
      <c r="D75" s="12" t="s">
        <v>81</v>
      </c>
      <c r="E75" s="162">
        <f>нормы!BC75</f>
        <v>816.63001477374962</v>
      </c>
      <c r="F75" s="182">
        <f>нормы!BE75</f>
        <v>855.09776285102782</v>
      </c>
      <c r="G75" s="228">
        <f t="shared" si="0"/>
        <v>1009.0153601642128</v>
      </c>
    </row>
    <row r="76" spans="1:7" ht="47.25">
      <c r="A76" s="28" t="s">
        <v>184</v>
      </c>
      <c r="B76" s="48" t="s">
        <v>165</v>
      </c>
      <c r="C76" s="48" t="s">
        <v>169</v>
      </c>
      <c r="D76" s="12" t="s">
        <v>81</v>
      </c>
      <c r="E76" s="162">
        <f>нормы!BC76</f>
        <v>816.63001477374962</v>
      </c>
      <c r="F76" s="182">
        <f>нормы!BE76</f>
        <v>855.09776285102782</v>
      </c>
      <c r="G76" s="228">
        <f t="shared" si="0"/>
        <v>1009.0153601642128</v>
      </c>
    </row>
    <row r="77" spans="1:7" ht="47.25">
      <c r="A77" s="28" t="s">
        <v>185</v>
      </c>
      <c r="B77" s="48" t="s">
        <v>170</v>
      </c>
      <c r="C77" s="48" t="s">
        <v>171</v>
      </c>
      <c r="D77" s="12" t="s">
        <v>81</v>
      </c>
      <c r="E77" s="162">
        <f>нормы!BC77</f>
        <v>815.07395935476438</v>
      </c>
      <c r="F77" s="182">
        <f>нормы!BE77</f>
        <v>907.52599340807274</v>
      </c>
      <c r="G77" s="228">
        <f t="shared" si="0"/>
        <v>1070.8806722215259</v>
      </c>
    </row>
    <row r="78" spans="1:7" ht="63">
      <c r="A78" s="28" t="s">
        <v>186</v>
      </c>
      <c r="B78" s="20" t="s">
        <v>172</v>
      </c>
      <c r="C78" s="157"/>
      <c r="D78" s="12"/>
      <c r="E78" s="162"/>
      <c r="F78" s="182"/>
      <c r="G78" s="228">
        <f t="shared" si="0"/>
        <v>0</v>
      </c>
    </row>
    <row r="79" spans="1:7" ht="47.25">
      <c r="A79" s="28"/>
      <c r="B79" s="20" t="s">
        <v>149</v>
      </c>
      <c r="C79" s="157"/>
      <c r="D79" s="12" t="s">
        <v>81</v>
      </c>
      <c r="E79" s="162">
        <f>нормы!BC79</f>
        <v>1114.7477575972453</v>
      </c>
      <c r="F79" s="183">
        <f>нормы!BE79</f>
        <v>1315.6196219918299</v>
      </c>
      <c r="G79" s="228">
        <f t="shared" si="0"/>
        <v>1552.4311539503592</v>
      </c>
    </row>
    <row r="80" spans="1:7" ht="69" customHeight="1">
      <c r="A80" s="28"/>
      <c r="B80" s="20" t="s">
        <v>155</v>
      </c>
      <c r="C80" s="157"/>
      <c r="D80" s="12" t="s">
        <v>81</v>
      </c>
      <c r="E80" s="162">
        <f>нормы!BC81</f>
        <v>2675.934761123639</v>
      </c>
      <c r="F80" s="182">
        <f>нормы!BE81</f>
        <v>2867.5782679153285</v>
      </c>
      <c r="G80" s="228">
        <f t="shared" si="0"/>
        <v>3383.7423561400874</v>
      </c>
    </row>
    <row r="81" spans="1:7" ht="47.25">
      <c r="A81" s="83" t="s">
        <v>187</v>
      </c>
      <c r="B81" s="84" t="s">
        <v>175</v>
      </c>
      <c r="C81" s="158">
        <v>1333</v>
      </c>
      <c r="D81" s="12" t="s">
        <v>81</v>
      </c>
      <c r="E81" s="162">
        <f>нормы!BC83</f>
        <v>446.1610361314315</v>
      </c>
      <c r="F81" s="182">
        <f>нормы!BE83</f>
        <v>485.21547557050172</v>
      </c>
      <c r="G81" s="228">
        <f t="shared" si="0"/>
        <v>572.554261173192</v>
      </c>
    </row>
    <row r="82" spans="1:7" ht="63">
      <c r="A82" s="83" t="s">
        <v>69</v>
      </c>
      <c r="B82" s="84" t="s">
        <v>176</v>
      </c>
      <c r="C82" s="158">
        <v>182</v>
      </c>
      <c r="D82" s="12" t="s">
        <v>81</v>
      </c>
      <c r="E82" s="162">
        <f>нормы!BC84</f>
        <v>409.87747106891123</v>
      </c>
      <c r="F82" s="182">
        <f>нормы!BE84</f>
        <v>462.13674700967744</v>
      </c>
      <c r="G82" s="228">
        <f t="shared" si="0"/>
        <v>545.32136147141932</v>
      </c>
    </row>
    <row r="83" spans="1:7" ht="47.25">
      <c r="A83" s="83" t="s">
        <v>70</v>
      </c>
      <c r="B83" s="84" t="s">
        <v>177</v>
      </c>
      <c r="C83" s="159">
        <v>61</v>
      </c>
      <c r="D83" s="12" t="s">
        <v>81</v>
      </c>
      <c r="E83" s="162">
        <f>нормы!BC85</f>
        <v>415.27849176891124</v>
      </c>
      <c r="F83" s="182">
        <f>нормы!BE85</f>
        <v>467.53776770967744</v>
      </c>
      <c r="G83" s="228">
        <f t="shared" si="0"/>
        <v>551.69456589741935</v>
      </c>
    </row>
    <row r="84" spans="1:7" ht="63">
      <c r="A84" s="83" t="s">
        <v>71</v>
      </c>
      <c r="B84" s="84" t="s">
        <v>178</v>
      </c>
      <c r="C84" s="158">
        <v>1334</v>
      </c>
      <c r="D84" s="12" t="s">
        <v>81</v>
      </c>
      <c r="E84" s="162">
        <f>нормы!BC86</f>
        <v>3695.7703361208628</v>
      </c>
      <c r="F84" s="182">
        <f>нормы!BE86</f>
        <v>3788.2223701741709</v>
      </c>
      <c r="G84" s="228">
        <f t="shared" ref="G84:G95" si="1">F84*1.18</f>
        <v>4470.1023968055215</v>
      </c>
    </row>
    <row r="85" spans="1:7" ht="47.25">
      <c r="A85" s="151" t="s">
        <v>72</v>
      </c>
      <c r="B85" s="84" t="s">
        <v>180</v>
      </c>
      <c r="C85" s="84">
        <v>1011</v>
      </c>
      <c r="D85" s="12" t="s">
        <v>81</v>
      </c>
      <c r="E85" s="162">
        <f>нормы!BC87</f>
        <v>655.59963718726249</v>
      </c>
      <c r="F85" s="182">
        <f>нормы!BE87</f>
        <v>707.85891312802869</v>
      </c>
      <c r="G85" s="228">
        <f t="shared" si="1"/>
        <v>835.27351749107379</v>
      </c>
    </row>
    <row r="86" spans="1:7" ht="47.25">
      <c r="A86" s="151" t="s">
        <v>188</v>
      </c>
      <c r="B86" s="84" t="s">
        <v>180</v>
      </c>
      <c r="C86" s="84">
        <v>1012</v>
      </c>
      <c r="D86" s="12" t="s">
        <v>81</v>
      </c>
      <c r="E86" s="162">
        <f>нормы!BC88</f>
        <v>655.59963718726249</v>
      </c>
      <c r="F86" s="182">
        <f>нормы!BE88</f>
        <v>707.85891312802869</v>
      </c>
      <c r="G86" s="228">
        <f t="shared" si="1"/>
        <v>835.27351749107379</v>
      </c>
    </row>
    <row r="87" spans="1:7" ht="47.25">
      <c r="A87" s="28" t="s">
        <v>192</v>
      </c>
      <c r="B87" s="48" t="s">
        <v>189</v>
      </c>
      <c r="C87" s="48"/>
      <c r="D87" s="12" t="s">
        <v>81</v>
      </c>
      <c r="E87" s="162">
        <f>нормы!BC89</f>
        <v>1002.0554696020968</v>
      </c>
      <c r="F87" s="182">
        <f>нормы!BE89</f>
        <v>1048.2814866287511</v>
      </c>
      <c r="G87" s="228">
        <f t="shared" si="1"/>
        <v>1236.9721542219261</v>
      </c>
    </row>
    <row r="88" spans="1:7" ht="63">
      <c r="A88" s="28" t="s">
        <v>193</v>
      </c>
      <c r="B88" s="48" t="s">
        <v>191</v>
      </c>
      <c r="C88" s="48"/>
      <c r="D88" s="12" t="s">
        <v>81</v>
      </c>
      <c r="E88" s="162">
        <f>нормы!BC90</f>
        <v>2746.477725022612</v>
      </c>
      <c r="F88" s="182">
        <f>нормы!BE90</f>
        <v>2792.7037420492661</v>
      </c>
      <c r="G88" s="228">
        <f t="shared" si="1"/>
        <v>3295.3904156181338</v>
      </c>
    </row>
    <row r="89" spans="1:7" ht="47.25">
      <c r="A89" s="28" t="s">
        <v>195</v>
      </c>
      <c r="B89" s="20" t="s">
        <v>194</v>
      </c>
      <c r="C89" s="156">
        <v>21</v>
      </c>
      <c r="D89" s="12" t="s">
        <v>81</v>
      </c>
      <c r="E89" s="162">
        <f>нормы!BC91</f>
        <v>355.23051176891124</v>
      </c>
      <c r="F89" s="182">
        <f>нормы!BE91</f>
        <v>407.48978770967744</v>
      </c>
      <c r="G89" s="228">
        <f t="shared" si="1"/>
        <v>480.83794949741934</v>
      </c>
    </row>
    <row r="90" spans="1:7" ht="78.75">
      <c r="A90" s="28" t="s">
        <v>198</v>
      </c>
      <c r="B90" s="20" t="s">
        <v>197</v>
      </c>
      <c r="C90" s="157"/>
      <c r="D90" s="12"/>
      <c r="E90" s="162"/>
      <c r="F90" s="183"/>
      <c r="G90" s="228">
        <f t="shared" si="1"/>
        <v>0</v>
      </c>
    </row>
    <row r="91" spans="1:7" ht="47.25">
      <c r="A91" s="28"/>
      <c r="B91" s="20" t="s">
        <v>149</v>
      </c>
      <c r="C91" s="157"/>
      <c r="D91" s="12" t="s">
        <v>81</v>
      </c>
      <c r="E91" s="162">
        <f>нормы!BC93</f>
        <v>491.26284896792686</v>
      </c>
      <c r="F91" s="183">
        <f>нормы!BE93</f>
        <v>538.1950685597011</v>
      </c>
      <c r="G91" s="228">
        <f t="shared" si="1"/>
        <v>635.07018090044721</v>
      </c>
    </row>
    <row r="92" spans="1:7" ht="63">
      <c r="A92" s="28"/>
      <c r="B92" s="20" t="s">
        <v>151</v>
      </c>
      <c r="C92" s="157"/>
      <c r="D92" s="12" t="s">
        <v>81</v>
      </c>
      <c r="E92" s="162">
        <f>нормы!BC95</f>
        <v>1077.332848967927</v>
      </c>
      <c r="F92" s="182">
        <f>нормы!BE95</f>
        <v>1124.2650685597011</v>
      </c>
      <c r="G92" s="228">
        <f t="shared" si="1"/>
        <v>1326.6327809004472</v>
      </c>
    </row>
    <row r="93" spans="1:7" ht="47.25">
      <c r="A93" s="28" t="s">
        <v>199</v>
      </c>
      <c r="B93" s="140" t="s">
        <v>202</v>
      </c>
      <c r="C93" s="156"/>
      <c r="D93" s="12" t="s">
        <v>81</v>
      </c>
      <c r="E93" s="162">
        <f>нормы!BC97</f>
        <v>2211.3133298708631</v>
      </c>
      <c r="F93" s="182">
        <f>нормы!BE97</f>
        <v>2303.7653639241712</v>
      </c>
      <c r="G93" s="228">
        <f t="shared" si="1"/>
        <v>2718.4431294305218</v>
      </c>
    </row>
    <row r="94" spans="1:7" ht="47.25">
      <c r="A94" s="28" t="s">
        <v>205</v>
      </c>
      <c r="B94" s="35" t="s">
        <v>203</v>
      </c>
      <c r="C94" s="156"/>
      <c r="D94" s="12" t="s">
        <v>81</v>
      </c>
      <c r="E94" s="162">
        <f>нормы!BC98</f>
        <v>3104.3960273708622</v>
      </c>
      <c r="F94" s="182">
        <f>нормы!BE98</f>
        <v>3196.8480614241703</v>
      </c>
      <c r="G94" s="228">
        <f t="shared" si="1"/>
        <v>3772.2807124805208</v>
      </c>
    </row>
    <row r="95" spans="1:7" ht="48" thickBot="1">
      <c r="A95" s="131" t="s">
        <v>206</v>
      </c>
      <c r="B95" s="38" t="s">
        <v>204</v>
      </c>
      <c r="C95" s="160"/>
      <c r="D95" s="25" t="s">
        <v>81</v>
      </c>
      <c r="E95" s="163">
        <f>нормы!BC99</f>
        <v>999.83498555268102</v>
      </c>
      <c r="F95" s="184">
        <f>нормы!BE99</f>
        <v>1092.2870196059894</v>
      </c>
      <c r="G95" s="228">
        <f t="shared" si="1"/>
        <v>1288.8986831350674</v>
      </c>
    </row>
    <row r="96" spans="1:7">
      <c r="A96" s="17"/>
      <c r="B96" s="15"/>
      <c r="C96" s="153"/>
      <c r="D96" s="19"/>
      <c r="E96" s="154"/>
      <c r="F96" s="154"/>
    </row>
    <row r="99" spans="6:6">
      <c r="F99" s="79"/>
    </row>
  </sheetData>
  <mergeCells count="3">
    <mergeCell ref="B11:D11"/>
    <mergeCell ref="B13:F14"/>
    <mergeCell ref="B12:F12"/>
  </mergeCells>
  <phoneticPr fontId="0" type="noConversion"/>
  <pageMargins left="0.78740157480314965" right="0.39370078740157483" top="0.78740157480314965" bottom="0.78740157480314965" header="0.15748031496062992" footer="0.15748031496062992"/>
  <pageSetup paperSize="9" scale="86" fitToWidth="0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нормы</vt:lpstr>
      <vt:lpstr>тарифы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ustinova_oe</cp:lastModifiedBy>
  <cp:lastPrinted>2015-01-14T01:49:23Z</cp:lastPrinted>
  <dcterms:created xsi:type="dcterms:W3CDTF">2004-05-06T06:47:14Z</dcterms:created>
  <dcterms:modified xsi:type="dcterms:W3CDTF">2015-01-21T00:53:32Z</dcterms:modified>
</cp:coreProperties>
</file>